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285" activeTab="5"/>
  </bookViews>
  <sheets>
    <sheet name="2013" sheetId="8" r:id="rId1"/>
    <sheet name="2014" sheetId="9" r:id="rId2"/>
    <sheet name="2015" sheetId="3" r:id="rId3"/>
    <sheet name="2016" sheetId="4" r:id="rId4"/>
    <sheet name="2017" sheetId="5" r:id="rId5"/>
    <sheet name="Resumen" sheetId="6" r:id="rId6"/>
    <sheet name="Fondos disponibles al 31-12" sheetId="7" r:id="rId7"/>
  </sheets>
  <calcPr calcId="152511"/>
</workbook>
</file>

<file path=xl/calcChain.xml><?xml version="1.0" encoding="utf-8"?>
<calcChain xmlns="http://schemas.openxmlformats.org/spreadsheetml/2006/main">
  <c r="D9" i="6" l="1"/>
  <c r="C19" i="6"/>
  <c r="C9" i="6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B26" i="9" s="1"/>
  <c r="F21" i="9"/>
  <c r="G21" i="9" s="1"/>
  <c r="H21" i="9" s="1"/>
  <c r="I21" i="9" s="1"/>
  <c r="J21" i="9" s="1"/>
  <c r="K21" i="9" s="1"/>
  <c r="L21" i="9" s="1"/>
  <c r="M21" i="9" s="1"/>
  <c r="D20" i="9"/>
  <c r="D19" i="9"/>
  <c r="C19" i="9"/>
  <c r="C18" i="9"/>
  <c r="C24" i="9" s="1"/>
  <c r="C26" i="9" s="1"/>
  <c r="B14" i="9"/>
  <c r="B30" i="9" s="1"/>
  <c r="G10" i="9"/>
  <c r="H10" i="9" s="1"/>
  <c r="I10" i="9" s="1"/>
  <c r="J10" i="9" s="1"/>
  <c r="K10" i="9" s="1"/>
  <c r="L10" i="9" s="1"/>
  <c r="M10" i="9" s="1"/>
  <c r="N10" i="9" s="1"/>
  <c r="F10" i="9"/>
  <c r="C8" i="9"/>
  <c r="D8" i="9" s="1"/>
  <c r="K25" i="8"/>
  <c r="J25" i="8"/>
  <c r="I25" i="8"/>
  <c r="H25" i="8"/>
  <c r="G25" i="8"/>
  <c r="F25" i="8"/>
  <c r="E25" i="8"/>
  <c r="D25" i="8"/>
  <c r="C25" i="8"/>
  <c r="B25" i="8"/>
  <c r="K20" i="8"/>
  <c r="B19" i="8"/>
  <c r="C19" i="8" s="1"/>
  <c r="D19" i="8" s="1"/>
  <c r="E19" i="8" s="1"/>
  <c r="F19" i="8" s="1"/>
  <c r="G19" i="8" s="1"/>
  <c r="H19" i="8" s="1"/>
  <c r="I19" i="8" s="1"/>
  <c r="J19" i="8" s="1"/>
  <c r="B18" i="8"/>
  <c r="B8" i="8"/>
  <c r="D10" i="6" l="1"/>
  <c r="D20" i="6"/>
  <c r="B24" i="8"/>
  <c r="B26" i="8" s="1"/>
  <c r="C18" i="6"/>
  <c r="D12" i="9"/>
  <c r="E8" i="9"/>
  <c r="E12" i="9" s="1"/>
  <c r="O10" i="9"/>
  <c r="O21" i="9"/>
  <c r="C12" i="9"/>
  <c r="D18" i="9"/>
  <c r="E19" i="9"/>
  <c r="F19" i="9" s="1"/>
  <c r="G19" i="9" s="1"/>
  <c r="H19" i="9" s="1"/>
  <c r="I19" i="9" s="1"/>
  <c r="J19" i="9" s="1"/>
  <c r="K19" i="9" s="1"/>
  <c r="L19" i="9" s="1"/>
  <c r="M19" i="9" s="1"/>
  <c r="N19" i="9" s="1"/>
  <c r="G20" i="9"/>
  <c r="L20" i="9" s="1"/>
  <c r="M20" i="9" s="1"/>
  <c r="N20" i="9" s="1"/>
  <c r="K19" i="8"/>
  <c r="B12" i="8"/>
  <c r="C8" i="8"/>
  <c r="C18" i="8"/>
  <c r="D19" i="6" l="1"/>
  <c r="D18" i="6"/>
  <c r="D24" i="9"/>
  <c r="D26" i="9" s="1"/>
  <c r="E18" i="9"/>
  <c r="D14" i="9"/>
  <c r="E14" i="9"/>
  <c r="O20" i="9"/>
  <c r="C14" i="9"/>
  <c r="C30" i="9" s="1"/>
  <c r="C29" i="9"/>
  <c r="F8" i="9"/>
  <c r="O19" i="9"/>
  <c r="C12" i="8"/>
  <c r="D8" i="8"/>
  <c r="C24" i="8"/>
  <c r="C26" i="8" s="1"/>
  <c r="D18" i="8"/>
  <c r="B29" i="8"/>
  <c r="B14" i="8"/>
  <c r="B30" i="8" s="1"/>
  <c r="D30" i="9" l="1"/>
  <c r="E24" i="9"/>
  <c r="F18" i="9"/>
  <c r="F12" i="9"/>
  <c r="G8" i="9"/>
  <c r="D29" i="9"/>
  <c r="D24" i="8"/>
  <c r="D26" i="8" s="1"/>
  <c r="E18" i="8"/>
  <c r="E8" i="8"/>
  <c r="D12" i="8"/>
  <c r="C29" i="8"/>
  <c r="C14" i="8"/>
  <c r="C30" i="8" s="1"/>
  <c r="F24" i="9" l="1"/>
  <c r="F26" i="9" s="1"/>
  <c r="G18" i="9"/>
  <c r="E26" i="9"/>
  <c r="E30" i="9" s="1"/>
  <c r="E29" i="9"/>
  <c r="H8" i="9"/>
  <c r="G12" i="9"/>
  <c r="F14" i="9"/>
  <c r="E12" i="8"/>
  <c r="F8" i="8"/>
  <c r="D29" i="8"/>
  <c r="D14" i="8"/>
  <c r="D30" i="8" s="1"/>
  <c r="E24" i="8"/>
  <c r="E26" i="8" s="1"/>
  <c r="F18" i="8"/>
  <c r="G14" i="9" l="1"/>
  <c r="F29" i="9"/>
  <c r="G24" i="9"/>
  <c r="G26" i="9" s="1"/>
  <c r="H18" i="9"/>
  <c r="H12" i="9"/>
  <c r="I8" i="9"/>
  <c r="F30" i="9"/>
  <c r="F24" i="8"/>
  <c r="F26" i="8" s="1"/>
  <c r="G18" i="8"/>
  <c r="F12" i="8"/>
  <c r="G8" i="8"/>
  <c r="E14" i="8"/>
  <c r="E30" i="8" s="1"/>
  <c r="E29" i="8"/>
  <c r="G30" i="9" l="1"/>
  <c r="H24" i="9"/>
  <c r="H26" i="9" s="1"/>
  <c r="I18" i="9"/>
  <c r="I12" i="9"/>
  <c r="J8" i="9"/>
  <c r="H29" i="9"/>
  <c r="H14" i="9"/>
  <c r="H30" i="9" s="1"/>
  <c r="G29" i="9"/>
  <c r="G12" i="8"/>
  <c r="H8" i="8"/>
  <c r="F14" i="8"/>
  <c r="F30" i="8" s="1"/>
  <c r="F29" i="8"/>
  <c r="H18" i="8"/>
  <c r="G24" i="8"/>
  <c r="G26" i="8" s="1"/>
  <c r="K8" i="9" l="1"/>
  <c r="J12" i="9"/>
  <c r="I14" i="9"/>
  <c r="I24" i="9"/>
  <c r="I26" i="9" s="1"/>
  <c r="J18" i="9"/>
  <c r="I8" i="8"/>
  <c r="H12" i="8"/>
  <c r="H24" i="8"/>
  <c r="H26" i="8" s="1"/>
  <c r="I18" i="8"/>
  <c r="G29" i="8"/>
  <c r="G14" i="8"/>
  <c r="G30" i="8" s="1"/>
  <c r="I29" i="9" l="1"/>
  <c r="K18" i="9"/>
  <c r="J24" i="9"/>
  <c r="J26" i="9" s="1"/>
  <c r="J14" i="9"/>
  <c r="J29" i="9"/>
  <c r="I30" i="9"/>
  <c r="L8" i="9"/>
  <c r="K12" i="9"/>
  <c r="I24" i="8"/>
  <c r="I26" i="8" s="1"/>
  <c r="J18" i="8"/>
  <c r="I12" i="8"/>
  <c r="J8" i="8"/>
  <c r="C8" i="6" s="1"/>
  <c r="H29" i="8"/>
  <c r="H14" i="8"/>
  <c r="H30" i="8" s="1"/>
  <c r="C12" i="6" l="1"/>
  <c r="J24" i="8"/>
  <c r="J26" i="8" s="1"/>
  <c r="C16" i="6"/>
  <c r="K24" i="9"/>
  <c r="K26" i="9" s="1"/>
  <c r="L18" i="9"/>
  <c r="K14" i="9"/>
  <c r="J30" i="9"/>
  <c r="L12" i="9"/>
  <c r="M8" i="9"/>
  <c r="J12" i="8"/>
  <c r="K8" i="8"/>
  <c r="K12" i="8" s="1"/>
  <c r="K18" i="8"/>
  <c r="K24" i="8" s="1"/>
  <c r="K26" i="8" s="1"/>
  <c r="I14" i="8"/>
  <c r="I30" i="8" s="1"/>
  <c r="I29" i="8"/>
  <c r="C24" i="6" l="1"/>
  <c r="K29" i="9"/>
  <c r="M12" i="9"/>
  <c r="N8" i="9"/>
  <c r="D8" i="6" s="1"/>
  <c r="K30" i="9"/>
  <c r="L14" i="9"/>
  <c r="L24" i="9"/>
  <c r="L26" i="9" s="1"/>
  <c r="M18" i="9"/>
  <c r="J29" i="8"/>
  <c r="J14" i="8"/>
  <c r="J30" i="8" s="1"/>
  <c r="K29" i="8"/>
  <c r="K14" i="8"/>
  <c r="K30" i="8" s="1"/>
  <c r="L29" i="9" l="1"/>
  <c r="D12" i="6"/>
  <c r="L30" i="9"/>
  <c r="M24" i="9"/>
  <c r="M26" i="9" s="1"/>
  <c r="N18" i="9"/>
  <c r="D16" i="6" s="1"/>
  <c r="M14" i="9"/>
  <c r="M30" i="9" s="1"/>
  <c r="N12" i="9"/>
  <c r="O8" i="9"/>
  <c r="O12" i="9" s="1"/>
  <c r="D24" i="6" l="1"/>
  <c r="N14" i="9"/>
  <c r="N30" i="9" s="1"/>
  <c r="M29" i="9"/>
  <c r="O14" i="9"/>
  <c r="N24" i="9"/>
  <c r="N26" i="9" s="1"/>
  <c r="O18" i="9"/>
  <c r="O24" i="9" s="1"/>
  <c r="O26" i="9" s="1"/>
  <c r="O29" i="9" l="1"/>
  <c r="O30" i="9"/>
  <c r="N29" i="9"/>
  <c r="G21" i="6" l="1"/>
  <c r="G20" i="6"/>
  <c r="G19" i="6"/>
  <c r="G18" i="6"/>
  <c r="G17" i="6"/>
  <c r="G16" i="6"/>
  <c r="F21" i="6"/>
  <c r="H21" i="6" s="1"/>
  <c r="F20" i="6"/>
  <c r="F19" i="6"/>
  <c r="F18" i="6"/>
  <c r="F17" i="6"/>
  <c r="F16" i="6"/>
  <c r="E20" i="6"/>
  <c r="H20" i="6" s="1"/>
  <c r="E19" i="6"/>
  <c r="H19" i="6" s="1"/>
  <c r="E18" i="6"/>
  <c r="H18" i="6" s="1"/>
  <c r="E17" i="6"/>
  <c r="E16" i="6"/>
  <c r="H16" i="6" s="1"/>
  <c r="G10" i="6"/>
  <c r="G9" i="6"/>
  <c r="G8" i="6"/>
  <c r="F10" i="6"/>
  <c r="F9" i="6"/>
  <c r="F8" i="6"/>
  <c r="E10" i="6"/>
  <c r="H10" i="6" s="1"/>
  <c r="E9" i="6"/>
  <c r="H9" i="6" s="1"/>
  <c r="E8" i="6"/>
  <c r="H8" i="6" s="1"/>
  <c r="E24" i="6" l="1"/>
  <c r="H17" i="6"/>
  <c r="F24" i="6"/>
  <c r="G24" i="6"/>
  <c r="F12" i="6"/>
  <c r="E12" i="6"/>
  <c r="G12" i="6"/>
  <c r="H12" i="6" l="1"/>
  <c r="H24" i="6"/>
</calcChain>
</file>

<file path=xl/sharedStrings.xml><?xml version="1.0" encoding="utf-8"?>
<sst xmlns="http://schemas.openxmlformats.org/spreadsheetml/2006/main" count="134" uniqueCount="31">
  <si>
    <t>CONTRATO DE FIDEICOMISO DE ADMINISTRACIÓN ENTRE CGPQ Y BNA</t>
  </si>
  <si>
    <t>"PROGRAMA DE PROFUNDIZACIÓN Y MODERNIZACIÓN DEL PUERTO DE QUEQUÉN"</t>
  </si>
  <si>
    <t>Cargo contribucion - U$S 1</t>
  </si>
  <si>
    <t>Vias Navegables</t>
  </si>
  <si>
    <t>Pago a proveedores</t>
  </si>
  <si>
    <t>Comisiones, gastos bancarios, impuestos, retenciones</t>
  </si>
  <si>
    <t>DIFERENCIA</t>
  </si>
  <si>
    <t>Inversiones Fondo Pellegrini</t>
  </si>
  <si>
    <t>ORIGENES DE FONDOS</t>
  </si>
  <si>
    <t>TOTAL ORIGENES DE FONDOS</t>
  </si>
  <si>
    <t>APLICACIONES DE FONDOS</t>
  </si>
  <si>
    <t>TOTAL APLICACIONES DE FONDOS</t>
  </si>
  <si>
    <t>Ingresos por inversiones</t>
  </si>
  <si>
    <t>Inversiones Plazo Fijo</t>
  </si>
  <si>
    <t>TOTAL ACUMULADO AL 31/12/2014</t>
  </si>
  <si>
    <t>TOTAL ACUMULADO AL 31/12/2015</t>
  </si>
  <si>
    <t>TOTAL ACUMULADO AL 31/12/2016</t>
  </si>
  <si>
    <t>Compra de U$S</t>
  </si>
  <si>
    <t>TIPO DE CAMBIO</t>
  </si>
  <si>
    <t>TOTAL ORIGENES DE FONDOS U$S</t>
  </si>
  <si>
    <t>TOTAL APLICACIONES DE FONDOS U$S</t>
  </si>
  <si>
    <t>DIFERENCIA U$S</t>
  </si>
  <si>
    <t>Cotización Dólar Vendedor BNA último día habil de c/mes</t>
  </si>
  <si>
    <t>TOTAL ACUMULADO AL 31/12/2017</t>
  </si>
  <si>
    <t>Cuenta Fideicomiso</t>
  </si>
  <si>
    <t>Cuenta Vias Navegables</t>
  </si>
  <si>
    <t>Cuenta U$S</t>
  </si>
  <si>
    <t>Inversiones disponibilidad 24 a 72 Hs.</t>
  </si>
  <si>
    <t>TOTAL ACUMULADO AL 31/12/2013</t>
  </si>
  <si>
    <t>TOTAL</t>
  </si>
  <si>
    <t>Pago a proveedor Contrato de Dragado Año 0 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</si>
</sst>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0.0000"/>
    <numFmt numFmtId="166" formatCode="_-[$USD]\ * #,##0.00_-;\-[$USD]\ * #,##0.00_-;_-[$USD]\ * &quot;-&quot;??_-;_-@_-"/>
    <numFmt numFmtId="167" formatCode="_-&quot;$&quot;* #,##0.0000_-;\-&quot;$&quot;* #,##0.0000_-;_-&quot;$&quot;* &quot;-&quot;??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/>
    <xf numFmtId="0" fontId="0" fillId="0" borderId="0" xfId="0" applyFont="1"/>
    <xf numFmtId="0" fontId="3" fillId="0" borderId="0" xfId="0" applyFont="1"/>
    <xf numFmtId="0" fontId="2" fillId="0" borderId="1" xfId="0" applyFont="1" applyBorder="1"/>
    <xf numFmtId="164" fontId="2" fillId="0" borderId="1" xfId="1" applyFont="1" applyBorder="1"/>
    <xf numFmtId="17" fontId="2" fillId="0" borderId="0" xfId="0" applyNumberFormat="1" applyFont="1" applyAlignment="1">
      <alignment horizontal="center"/>
    </xf>
    <xf numFmtId="164" fontId="0" fillId="0" borderId="0" xfId="1" applyFont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0" xfId="0" applyFont="1" applyBorder="1"/>
    <xf numFmtId="164" fontId="2" fillId="0" borderId="0" xfId="1" applyFont="1" applyBorder="1"/>
    <xf numFmtId="164" fontId="1" fillId="0" borderId="0" xfId="1" applyFont="1"/>
    <xf numFmtId="0" fontId="2" fillId="0" borderId="0" xfId="0" applyFont="1" applyAlignment="1">
      <alignment horizontal="center"/>
    </xf>
    <xf numFmtId="164" fontId="0" fillId="0" borderId="0" xfId="0" applyNumberFormat="1"/>
    <xf numFmtId="164" fontId="3" fillId="0" borderId="0" xfId="0" applyNumberFormat="1" applyFont="1"/>
    <xf numFmtId="164" fontId="2" fillId="0" borderId="0" xfId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/>
    <xf numFmtId="0" fontId="4" fillId="0" borderId="0" xfId="0" applyFont="1"/>
    <xf numFmtId="165" fontId="2" fillId="0" borderId="2" xfId="1" applyNumberFormat="1" applyFont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166" fontId="2" fillId="0" borderId="2" xfId="0" applyNumberFormat="1" applyFont="1" applyBorder="1"/>
    <xf numFmtId="16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/>
    <xf numFmtId="14" fontId="2" fillId="0" borderId="0" xfId="0" applyNumberFormat="1" applyFont="1" applyAlignment="1">
      <alignment horizontal="center"/>
    </xf>
    <xf numFmtId="166" fontId="2" fillId="0" borderId="2" xfId="1" applyNumberFormat="1" applyFont="1" applyBorder="1"/>
    <xf numFmtId="165" fontId="2" fillId="0" borderId="2" xfId="1" applyNumberFormat="1" applyFont="1" applyBorder="1"/>
    <xf numFmtId="0" fontId="2" fillId="0" borderId="3" xfId="0" applyFont="1" applyBorder="1"/>
    <xf numFmtId="166" fontId="2" fillId="0" borderId="3" xfId="1" applyNumberFormat="1" applyFont="1" applyBorder="1"/>
    <xf numFmtId="0" fontId="2" fillId="0" borderId="0" xfId="0" applyFont="1" applyAlignment="1"/>
    <xf numFmtId="0" fontId="2" fillId="0" borderId="4" xfId="0" applyFont="1" applyBorder="1" applyAlignment="1">
      <alignment horizontal="center"/>
    </xf>
    <xf numFmtId="0" fontId="0" fillId="0" borderId="4" xfId="0" applyBorder="1"/>
    <xf numFmtId="164" fontId="0" fillId="0" borderId="4" xfId="0" applyNumberFormat="1" applyBorder="1"/>
    <xf numFmtId="164" fontId="2" fillId="0" borderId="5" xfId="1" applyFont="1" applyBorder="1"/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360"/>
  <sheetViews>
    <sheetView workbookViewId="0">
      <pane xSplit="1" topLeftCell="B1" activePane="topRight" state="frozen"/>
      <selection pane="topRight" activeCell="A3" sqref="A3"/>
    </sheetView>
  </sheetViews>
  <sheetFormatPr baseColWidth="10" defaultColWidth="9.140625" defaultRowHeight="15" x14ac:dyDescent="0.25"/>
  <cols>
    <col min="1" max="1" width="54.28515625" bestFit="1" customWidth="1"/>
    <col min="2" max="2" width="18.140625" customWidth="1"/>
    <col min="3" max="3" width="17.42578125" bestFit="1" customWidth="1"/>
    <col min="4" max="4" width="16.42578125" customWidth="1"/>
    <col min="5" max="5" width="16.7109375" customWidth="1"/>
    <col min="6" max="6" width="17.42578125" bestFit="1" customWidth="1"/>
    <col min="7" max="7" width="16.28515625" customWidth="1"/>
    <col min="8" max="8" width="17" customWidth="1"/>
    <col min="9" max="9" width="16.28515625" customWidth="1"/>
    <col min="10" max="10" width="17.140625" customWidth="1"/>
    <col min="11" max="11" width="34.28515625" customWidth="1"/>
  </cols>
  <sheetData>
    <row r="2" spans="1:56" x14ac:dyDescent="0.25">
      <c r="B2" s="38" t="s">
        <v>0</v>
      </c>
      <c r="C2" s="38"/>
      <c r="D2" s="38"/>
      <c r="E2" s="38"/>
      <c r="F2" s="38"/>
      <c r="G2" s="38"/>
    </row>
    <row r="3" spans="1:56" x14ac:dyDescent="0.25">
      <c r="B3" s="38" t="s">
        <v>1</v>
      </c>
      <c r="C3" s="38"/>
      <c r="D3" s="38"/>
      <c r="E3" s="38"/>
      <c r="F3" s="38"/>
      <c r="G3" s="38"/>
    </row>
    <row r="4" spans="1:56" x14ac:dyDescent="0.25">
      <c r="B4" s="1"/>
      <c r="C4" s="1"/>
      <c r="D4" s="1"/>
      <c r="E4" s="1"/>
      <c r="F4" s="1"/>
      <c r="G4" s="1"/>
    </row>
    <row r="6" spans="1:56" s="26" customFormat="1" x14ac:dyDescent="0.25">
      <c r="B6" s="7">
        <v>41365</v>
      </c>
      <c r="C6" s="7">
        <v>41395</v>
      </c>
      <c r="D6" s="7">
        <v>41426</v>
      </c>
      <c r="E6" s="7">
        <v>41456</v>
      </c>
      <c r="F6" s="7">
        <v>41487</v>
      </c>
      <c r="G6" s="7">
        <v>41518</v>
      </c>
      <c r="H6" s="7">
        <v>41548</v>
      </c>
      <c r="I6" s="7">
        <v>41579</v>
      </c>
      <c r="J6" s="7">
        <v>41609</v>
      </c>
      <c r="K6" s="26" t="s">
        <v>28</v>
      </c>
    </row>
    <row r="7" spans="1:56" x14ac:dyDescent="0.25">
      <c r="A7" s="3" t="s">
        <v>8</v>
      </c>
    </row>
    <row r="8" spans="1:56" x14ac:dyDescent="0.25">
      <c r="A8" s="4" t="s">
        <v>2</v>
      </c>
      <c r="B8" s="8">
        <f>654910+2080182+6351251+1989791-0.3</f>
        <v>11076133.699999999</v>
      </c>
      <c r="C8" s="8">
        <f>15045332.96-B8</f>
        <v>3969199.2600000016</v>
      </c>
      <c r="D8" s="8">
        <f>18570290.35-C8-B8</f>
        <v>3524957.3900000006</v>
      </c>
      <c r="E8" s="8">
        <f>23312415.82-D8-C8-B8</f>
        <v>4742125.4699999988</v>
      </c>
      <c r="F8" s="8">
        <f>28632316.91-E8-D8-C8-B8</f>
        <v>5319901.09</v>
      </c>
      <c r="G8" s="8">
        <f>32135683.27-F8-E8-D8-C8-B8</f>
        <v>3503366.3599999994</v>
      </c>
      <c r="H8" s="8">
        <f>35053425.75-G8-F8-E8-D8-C8-B8</f>
        <v>2917742.4800000004</v>
      </c>
      <c r="I8" s="8">
        <f>35633033.14-H8-G8-F8-E8-D8-C8-B8</f>
        <v>579607.3900000006</v>
      </c>
      <c r="J8" s="8">
        <f>36115750.29-I8-H8-G8-F8-E8-D8-C8-B8</f>
        <v>482717.14999999851</v>
      </c>
      <c r="K8" s="2">
        <f>SUM(B8:J8)</f>
        <v>36115750.289999999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x14ac:dyDescent="0.25">
      <c r="A9" s="4" t="s">
        <v>3</v>
      </c>
      <c r="B9" s="8"/>
      <c r="C9" s="8"/>
      <c r="D9" s="8"/>
      <c r="E9" s="8"/>
      <c r="F9" s="8"/>
      <c r="G9" s="8"/>
      <c r="H9" s="8"/>
      <c r="I9" s="8"/>
      <c r="J9" s="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B10" s="8"/>
      <c r="C10" s="8"/>
      <c r="D10" s="8"/>
      <c r="E10" s="8"/>
      <c r="F10" s="8"/>
      <c r="G10" s="8"/>
      <c r="H10" s="8"/>
      <c r="I10" s="8"/>
      <c r="J10" s="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B11" s="8"/>
      <c r="C11" s="8"/>
      <c r="D11" s="8"/>
      <c r="E11" s="8"/>
      <c r="F11" s="8"/>
      <c r="G11" s="8"/>
      <c r="H11" s="8"/>
      <c r="I11" s="8"/>
      <c r="J11" s="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s="10" customFormat="1" ht="15.75" thickBot="1" x14ac:dyDescent="0.3">
      <c r="A12" s="5" t="s">
        <v>9</v>
      </c>
      <c r="B12" s="9">
        <f>SUM(B8:B11)</f>
        <v>11076133.699999999</v>
      </c>
      <c r="C12" s="9">
        <f t="shared" ref="C12:K12" si="0">SUM(C8:C11)</f>
        <v>3969199.2600000016</v>
      </c>
      <c r="D12" s="9">
        <f t="shared" si="0"/>
        <v>3524957.3900000006</v>
      </c>
      <c r="E12" s="9">
        <f t="shared" si="0"/>
        <v>4742125.4699999988</v>
      </c>
      <c r="F12" s="9">
        <f t="shared" si="0"/>
        <v>5319901.09</v>
      </c>
      <c r="G12" s="9">
        <f t="shared" si="0"/>
        <v>3503366.3599999994</v>
      </c>
      <c r="H12" s="9">
        <f t="shared" si="0"/>
        <v>2917742.4800000004</v>
      </c>
      <c r="I12" s="9">
        <f t="shared" si="0"/>
        <v>579607.3900000006</v>
      </c>
      <c r="J12" s="9">
        <f t="shared" si="0"/>
        <v>482717.14999999851</v>
      </c>
      <c r="K12" s="9">
        <f t="shared" si="0"/>
        <v>36115750.289999999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56" s="10" customFormat="1" ht="16.5" thickTop="1" thickBot="1" x14ac:dyDescent="0.3">
      <c r="A13" s="17" t="s">
        <v>18</v>
      </c>
      <c r="B13" s="20">
        <v>5.19</v>
      </c>
      <c r="C13" s="20">
        <v>5.2850000000000001</v>
      </c>
      <c r="D13" s="20">
        <v>5.3949999999999996</v>
      </c>
      <c r="E13" s="20">
        <v>5.51</v>
      </c>
      <c r="F13" s="20">
        <v>5.6749999999999998</v>
      </c>
      <c r="G13" s="20">
        <v>5.7949999999999999</v>
      </c>
      <c r="H13" s="20">
        <v>5.915</v>
      </c>
      <c r="I13" s="20">
        <v>6.14</v>
      </c>
      <c r="J13" s="20">
        <v>6.5250000000000004</v>
      </c>
      <c r="K13" s="20">
        <v>6.5250000000000004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</row>
    <row r="14" spans="1:56" s="10" customFormat="1" ht="16.5" thickTop="1" thickBot="1" x14ac:dyDescent="0.3">
      <c r="A14" s="17" t="s">
        <v>19</v>
      </c>
      <c r="B14" s="21">
        <f>B12/B13</f>
        <v>2134129.8073217724</v>
      </c>
      <c r="C14" s="21">
        <f t="shared" ref="C14:K14" si="1">C12/C13</f>
        <v>751031.08041627274</v>
      </c>
      <c r="D14" s="21">
        <f t="shared" si="1"/>
        <v>653374.86376274342</v>
      </c>
      <c r="E14" s="21">
        <f t="shared" si="1"/>
        <v>860639.8312159708</v>
      </c>
      <c r="F14" s="21">
        <f t="shared" si="1"/>
        <v>937427.50484581501</v>
      </c>
      <c r="G14" s="21">
        <f t="shared" si="1"/>
        <v>604549.84641932696</v>
      </c>
      <c r="H14" s="21">
        <f t="shared" si="1"/>
        <v>493278.52578191046</v>
      </c>
      <c r="I14" s="21">
        <f t="shared" si="1"/>
        <v>94398.597719869809</v>
      </c>
      <c r="J14" s="21">
        <f t="shared" si="1"/>
        <v>73979.639846743055</v>
      </c>
      <c r="K14" s="21">
        <f t="shared" si="1"/>
        <v>5534980.8873563213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ht="15.75" thickTop="1" x14ac:dyDescent="0.25">
      <c r="B15" s="8"/>
      <c r="C15" s="8"/>
      <c r="D15" s="8"/>
      <c r="E15" s="8"/>
      <c r="F15" s="8"/>
      <c r="G15" s="8"/>
      <c r="H15" s="8"/>
      <c r="I15" s="8"/>
      <c r="J15" s="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B16" s="8"/>
      <c r="C16" s="8"/>
      <c r="D16" s="8"/>
      <c r="E16" s="8"/>
      <c r="F16" s="8"/>
      <c r="G16" s="8"/>
      <c r="H16" s="8"/>
      <c r="I16" s="8"/>
      <c r="J16" s="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3" t="s">
        <v>10</v>
      </c>
      <c r="B17" s="8"/>
      <c r="C17" s="8"/>
      <c r="D17" s="8"/>
      <c r="E17" s="8"/>
      <c r="F17" s="8"/>
      <c r="G17" s="8"/>
      <c r="H17" s="8"/>
      <c r="I17" s="8"/>
      <c r="J17" s="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" t="s">
        <v>4</v>
      </c>
      <c r="B18" s="8">
        <f>1386869.45+965069.11</f>
        <v>2351938.5600000001</v>
      </c>
      <c r="C18" s="8">
        <f>2849681.55-B18</f>
        <v>497742.98999999976</v>
      </c>
      <c r="D18" s="8">
        <f>3237651.15-C18-B18</f>
        <v>387969.60000000009</v>
      </c>
      <c r="E18" s="8">
        <f>3246508.35-D18-C18-B18</f>
        <v>8857.2000000001863</v>
      </c>
      <c r="F18" s="8">
        <f>3667422.75-E18-D18-C18-B18</f>
        <v>420914.39999999991</v>
      </c>
      <c r="G18" s="8">
        <f>4464609.95-F18-E18-D18-C18-B18</f>
        <v>797187.20000000019</v>
      </c>
      <c r="H18" s="8">
        <f>4500467.15-G18-F18-E18-D18-C18-B18</f>
        <v>35857.200000000186</v>
      </c>
      <c r="I18" s="8">
        <f>4509324.35-H18-G18-F18-E18-D18-C18-B18</f>
        <v>8857.1999999992549</v>
      </c>
      <c r="J18" s="8">
        <f>4578824.35-I18-H18-G18-F18-E18-D18-C18-B18</f>
        <v>69500</v>
      </c>
      <c r="K18" s="2">
        <f>SUM(B18:J18)</f>
        <v>4578824.3499999996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" t="s">
        <v>5</v>
      </c>
      <c r="B19" s="8">
        <f>38605.72+107714.72+46292.33</f>
        <v>192612.77000000002</v>
      </c>
      <c r="C19" s="8">
        <f>1999930.47+189773.77-B19</f>
        <v>1997091.4699999997</v>
      </c>
      <c r="D19" s="8">
        <f>1999930.47+192700.66-C19-B19</f>
        <v>2926.8900000001304</v>
      </c>
      <c r="E19" s="8">
        <f>1999930.47+220947.83-D19-C19-B19</f>
        <v>28247.169999999925</v>
      </c>
      <c r="F19" s="8">
        <f>1999930.47+275606.23-E19-D19-C19-B19</f>
        <v>54658.400000000373</v>
      </c>
      <c r="G19" s="8">
        <f>1999930.47+300873.12-F19-E19-D19-C19-B19</f>
        <v>25266.889999999665</v>
      </c>
      <c r="H19" s="8">
        <f>1999930.47+322777.82-G19-F19-E19-D19-C19-B19</f>
        <v>21904.700000000186</v>
      </c>
      <c r="I19" s="8">
        <f>1999930.47+354652.67-H19-G19-F19-E19-D19-C19-B19</f>
        <v>31874.850000000093</v>
      </c>
      <c r="J19" s="8">
        <f>1999930.47+373311.3-I19-H19-G19-F19-E19-D19-C19-B19</f>
        <v>18658.629999999888</v>
      </c>
      <c r="K19" s="2">
        <f>SUM(B19:J19)</f>
        <v>2373241.77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" t="s">
        <v>7</v>
      </c>
      <c r="B20" s="8"/>
      <c r="C20" s="8">
        <v>5500000</v>
      </c>
      <c r="D20" s="8">
        <v>4500000</v>
      </c>
      <c r="E20" s="8">
        <v>5000000</v>
      </c>
      <c r="F20" s="8">
        <v>6000000</v>
      </c>
      <c r="G20" s="8">
        <v>2000000</v>
      </c>
      <c r="H20" s="8">
        <v>2000000</v>
      </c>
      <c r="I20" s="8">
        <v>3000000</v>
      </c>
      <c r="J20" s="8">
        <v>0</v>
      </c>
      <c r="K20" s="2">
        <f>SUM(B20:J20)</f>
        <v>28000000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B21" s="8"/>
      <c r="C21" s="8"/>
      <c r="D21" s="8"/>
      <c r="E21" s="8"/>
      <c r="F21" s="8"/>
      <c r="G21" s="8"/>
      <c r="H21" s="8"/>
      <c r="I21" s="8"/>
      <c r="J21" s="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x14ac:dyDescent="0.25">
      <c r="B22" s="8"/>
      <c r="C22" s="8"/>
      <c r="D22" s="8"/>
      <c r="E22" s="8"/>
      <c r="F22" s="8"/>
      <c r="G22" s="8"/>
      <c r="H22" s="8"/>
      <c r="I22" s="8"/>
      <c r="J22" s="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x14ac:dyDescent="0.25">
      <c r="B23" s="8"/>
      <c r="C23" s="8"/>
      <c r="D23" s="8"/>
      <c r="E23" s="8"/>
      <c r="F23" s="8"/>
      <c r="G23" s="8"/>
      <c r="H23" s="8"/>
      <c r="I23" s="8"/>
      <c r="J23" s="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s="10" customFormat="1" ht="15.75" thickBot="1" x14ac:dyDescent="0.3">
      <c r="A24" s="5" t="s">
        <v>11</v>
      </c>
      <c r="B24" s="9">
        <f t="shared" ref="B24:K24" si="2">SUM(B18:B23)</f>
        <v>2544551.33</v>
      </c>
      <c r="C24" s="9">
        <f t="shared" si="2"/>
        <v>7994834.459999999</v>
      </c>
      <c r="D24" s="9">
        <f t="shared" si="2"/>
        <v>4890896.49</v>
      </c>
      <c r="E24" s="9">
        <f t="shared" si="2"/>
        <v>5037104.37</v>
      </c>
      <c r="F24" s="9">
        <f t="shared" si="2"/>
        <v>6475572.8000000007</v>
      </c>
      <c r="G24" s="9">
        <f t="shared" si="2"/>
        <v>2822454.09</v>
      </c>
      <c r="H24" s="9">
        <f t="shared" si="2"/>
        <v>2057761.9000000004</v>
      </c>
      <c r="I24" s="9">
        <f t="shared" si="2"/>
        <v>3040732.0499999993</v>
      </c>
      <c r="J24" s="9">
        <f t="shared" si="2"/>
        <v>88158.629999999888</v>
      </c>
      <c r="K24" s="9">
        <f t="shared" si="2"/>
        <v>34952066.119999997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s="10" customFormat="1" ht="16.5" thickTop="1" thickBot="1" x14ac:dyDescent="0.3">
      <c r="A25" s="17" t="s">
        <v>18</v>
      </c>
      <c r="B25" s="20">
        <f t="shared" ref="B25:K25" si="3">B13</f>
        <v>5.19</v>
      </c>
      <c r="C25" s="20">
        <f t="shared" si="3"/>
        <v>5.2850000000000001</v>
      </c>
      <c r="D25" s="20">
        <f t="shared" si="3"/>
        <v>5.3949999999999996</v>
      </c>
      <c r="E25" s="20">
        <f t="shared" si="3"/>
        <v>5.51</v>
      </c>
      <c r="F25" s="20">
        <f t="shared" si="3"/>
        <v>5.6749999999999998</v>
      </c>
      <c r="G25" s="20">
        <f t="shared" si="3"/>
        <v>5.7949999999999999</v>
      </c>
      <c r="H25" s="20">
        <f t="shared" si="3"/>
        <v>5.915</v>
      </c>
      <c r="I25" s="20">
        <f t="shared" si="3"/>
        <v>6.14</v>
      </c>
      <c r="J25" s="20">
        <f t="shared" si="3"/>
        <v>6.5250000000000004</v>
      </c>
      <c r="K25" s="20">
        <f t="shared" si="3"/>
        <v>6.5250000000000004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s="10" customFormat="1" ht="16.5" thickTop="1" thickBot="1" x14ac:dyDescent="0.3">
      <c r="A26" s="17" t="s">
        <v>20</v>
      </c>
      <c r="B26" s="21">
        <f>B24/B25</f>
        <v>490279.63969171484</v>
      </c>
      <c r="C26" s="21">
        <f t="shared" ref="C26:K26" si="4">C24/C25</f>
        <v>1512740.673604541</v>
      </c>
      <c r="D26" s="21">
        <f t="shared" si="4"/>
        <v>906560.98053753492</v>
      </c>
      <c r="E26" s="21">
        <f t="shared" si="4"/>
        <v>914175.02177858446</v>
      </c>
      <c r="F26" s="21">
        <f t="shared" si="4"/>
        <v>1141070.0969162998</v>
      </c>
      <c r="G26" s="21">
        <f t="shared" si="4"/>
        <v>487049.88610871439</v>
      </c>
      <c r="H26" s="21">
        <f t="shared" si="4"/>
        <v>347888.74049027899</v>
      </c>
      <c r="I26" s="21">
        <f t="shared" si="4"/>
        <v>495233.2328990227</v>
      </c>
      <c r="J26" s="21">
        <f t="shared" si="4"/>
        <v>13510.90114942527</v>
      </c>
      <c r="K26" s="21">
        <f t="shared" si="4"/>
        <v>5356638.4858237542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s="10" customFormat="1" ht="15.75" thickTop="1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x14ac:dyDescent="0.25">
      <c r="B28" s="8"/>
      <c r="C28" s="8"/>
      <c r="D28" s="8"/>
      <c r="E28" s="8"/>
      <c r="F28" s="8"/>
      <c r="G28" s="8"/>
      <c r="H28" s="8"/>
      <c r="I28" s="8"/>
      <c r="J28" s="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s="10" customFormat="1" ht="15.75" thickBot="1" x14ac:dyDescent="0.3">
      <c r="A29" s="5" t="s">
        <v>6</v>
      </c>
      <c r="B29" s="9">
        <f t="shared" ref="B29:K29" si="5">B12-B24</f>
        <v>8531582.3699999992</v>
      </c>
      <c r="C29" s="9">
        <f t="shared" si="5"/>
        <v>-4025635.1999999974</v>
      </c>
      <c r="D29" s="9">
        <f t="shared" si="5"/>
        <v>-1365939.0999999996</v>
      </c>
      <c r="E29" s="9">
        <f t="shared" si="5"/>
        <v>-294978.9000000013</v>
      </c>
      <c r="F29" s="9">
        <f t="shared" si="5"/>
        <v>-1155671.7100000009</v>
      </c>
      <c r="G29" s="9">
        <f t="shared" si="5"/>
        <v>680912.26999999955</v>
      </c>
      <c r="H29" s="9">
        <f t="shared" si="5"/>
        <v>859980.58000000007</v>
      </c>
      <c r="I29" s="9">
        <f t="shared" si="5"/>
        <v>-2461124.6599999988</v>
      </c>
      <c r="J29" s="9">
        <f t="shared" si="5"/>
        <v>394558.51999999862</v>
      </c>
      <c r="K29" s="9">
        <f t="shared" si="5"/>
        <v>1163684.1700000018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</row>
    <row r="30" spans="1:56" ht="16.5" thickTop="1" thickBot="1" x14ac:dyDescent="0.3">
      <c r="A30" s="18" t="s">
        <v>21</v>
      </c>
      <c r="B30" s="29">
        <f>B14-B26</f>
        <v>1643850.1676300575</v>
      </c>
      <c r="C30" s="29">
        <f t="shared" ref="C30:K30" si="6">C14-C26</f>
        <v>-761709.59318826825</v>
      </c>
      <c r="D30" s="29">
        <f t="shared" si="6"/>
        <v>-253186.1167747915</v>
      </c>
      <c r="E30" s="29">
        <f t="shared" si="6"/>
        <v>-53535.190562613658</v>
      </c>
      <c r="F30" s="29">
        <f t="shared" si="6"/>
        <v>-203642.59207048477</v>
      </c>
      <c r="G30" s="29">
        <f t="shared" si="6"/>
        <v>117499.96031061257</v>
      </c>
      <c r="H30" s="29">
        <f t="shared" si="6"/>
        <v>145389.78529163147</v>
      </c>
      <c r="I30" s="29">
        <f t="shared" si="6"/>
        <v>-400834.63517915289</v>
      </c>
      <c r="J30" s="29">
        <f t="shared" si="6"/>
        <v>60468.738697317785</v>
      </c>
      <c r="K30" s="29">
        <f t="shared" si="6"/>
        <v>178342.40153256711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5.75" thickTop="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x14ac:dyDescent="0.25">
      <c r="A33" s="19" t="s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1:56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1:56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1:56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1:56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1:56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1:56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2:56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2:56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2:56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2:56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</row>
    <row r="53" spans="2:56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2:56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2:56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2:56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2:56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2:56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</row>
    <row r="59" spans="2:56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2:56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2:56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2:56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2:56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2:56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2:56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</row>
    <row r="66" spans="2:56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</row>
    <row r="67" spans="2:56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2:56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</row>
    <row r="69" spans="2:56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2:56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</row>
    <row r="71" spans="2:56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2:56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</row>
    <row r="73" spans="2:56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</row>
    <row r="74" spans="2:56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</row>
    <row r="75" spans="2:56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</row>
    <row r="76" spans="2:56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</row>
    <row r="77" spans="2:56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spans="2:56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</row>
    <row r="79" spans="2:56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spans="2:56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</row>
    <row r="81" spans="2:56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</row>
    <row r="82" spans="2:56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2:56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2:56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</row>
    <row r="85" spans="2:56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</row>
    <row r="86" spans="2:56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</row>
    <row r="87" spans="2:56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</row>
    <row r="88" spans="2:56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</row>
    <row r="89" spans="2:56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</row>
    <row r="90" spans="2:56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</row>
    <row r="91" spans="2:56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</row>
    <row r="92" spans="2:56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</row>
    <row r="93" spans="2:56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</row>
    <row r="94" spans="2:56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</row>
    <row r="95" spans="2:56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</row>
    <row r="96" spans="2:56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</row>
    <row r="97" spans="2:56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</row>
    <row r="98" spans="2:56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</row>
    <row r="99" spans="2:56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</row>
    <row r="100" spans="2:56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</row>
    <row r="101" spans="2:56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</row>
    <row r="102" spans="2:56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</row>
    <row r="103" spans="2:56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</row>
    <row r="104" spans="2:56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</row>
    <row r="105" spans="2:56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</row>
    <row r="106" spans="2:56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</row>
    <row r="107" spans="2:56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</row>
    <row r="108" spans="2:56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</row>
    <row r="109" spans="2:56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</row>
    <row r="110" spans="2:56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</row>
    <row r="111" spans="2:56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</row>
    <row r="112" spans="2:56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</row>
    <row r="113" spans="2:56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</row>
    <row r="114" spans="2:56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</row>
    <row r="115" spans="2:56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</row>
    <row r="116" spans="2:56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</row>
    <row r="117" spans="2:56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</row>
    <row r="118" spans="2:56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</row>
    <row r="119" spans="2:56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2:56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</row>
    <row r="121" spans="2:56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</row>
    <row r="122" spans="2:56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</row>
    <row r="123" spans="2:56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</row>
    <row r="124" spans="2:56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</row>
    <row r="125" spans="2:56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</row>
    <row r="126" spans="2:56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</row>
    <row r="127" spans="2:56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</row>
    <row r="128" spans="2:56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</row>
    <row r="129" spans="2:56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</row>
    <row r="130" spans="2:56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</row>
    <row r="131" spans="2:56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</row>
    <row r="132" spans="2:56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</row>
    <row r="133" spans="2:56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</row>
    <row r="134" spans="2:56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</row>
    <row r="135" spans="2:56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</row>
    <row r="136" spans="2:56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</row>
    <row r="137" spans="2:56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</row>
    <row r="138" spans="2:56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</row>
    <row r="139" spans="2:56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</row>
    <row r="140" spans="2:56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</row>
    <row r="141" spans="2:56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</row>
    <row r="142" spans="2:56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</row>
    <row r="143" spans="2:56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</row>
    <row r="144" spans="2:56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</row>
    <row r="145" spans="2:56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</row>
    <row r="146" spans="2:56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</row>
    <row r="147" spans="2:56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</row>
    <row r="148" spans="2:56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</row>
    <row r="149" spans="2:56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</row>
    <row r="150" spans="2:56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</row>
    <row r="151" spans="2:56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</row>
    <row r="152" spans="2:56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</row>
    <row r="153" spans="2:56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</row>
    <row r="154" spans="2:56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</row>
    <row r="155" spans="2:56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</row>
    <row r="156" spans="2:56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</row>
    <row r="157" spans="2:56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</row>
    <row r="158" spans="2:56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</row>
    <row r="159" spans="2:56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</row>
    <row r="160" spans="2:56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</row>
    <row r="161" spans="2:56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</row>
    <row r="162" spans="2:56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</row>
    <row r="163" spans="2:56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</row>
    <row r="164" spans="2:56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</row>
    <row r="165" spans="2:56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</row>
    <row r="166" spans="2:56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</row>
    <row r="167" spans="2:56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</row>
    <row r="168" spans="2:56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</row>
    <row r="169" spans="2:56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</row>
    <row r="170" spans="2:56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</row>
    <row r="171" spans="2:56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</row>
    <row r="172" spans="2:56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</row>
    <row r="173" spans="2:56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</row>
    <row r="174" spans="2:56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</row>
    <row r="175" spans="2:56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</row>
    <row r="176" spans="2:56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</row>
    <row r="177" spans="2:56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</row>
    <row r="178" spans="2:56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</row>
    <row r="179" spans="2:56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</row>
    <row r="180" spans="2:56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</row>
    <row r="181" spans="2:56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</row>
    <row r="182" spans="2:56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</row>
    <row r="183" spans="2:56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</row>
    <row r="184" spans="2:56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</row>
    <row r="185" spans="2:56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</row>
    <row r="186" spans="2:56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</row>
    <row r="187" spans="2:56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</row>
    <row r="188" spans="2:56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</row>
    <row r="189" spans="2:56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</row>
    <row r="190" spans="2:56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</row>
    <row r="191" spans="2:56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</row>
    <row r="192" spans="2:56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</row>
    <row r="193" spans="2:56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</row>
    <row r="194" spans="2:56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</row>
    <row r="195" spans="2:56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</row>
    <row r="196" spans="2:56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</row>
    <row r="197" spans="2:56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</row>
    <row r="198" spans="2:56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</row>
    <row r="199" spans="2:56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</row>
    <row r="200" spans="2:56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</row>
    <row r="201" spans="2:56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</row>
    <row r="202" spans="2:56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</row>
    <row r="203" spans="2:56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</row>
    <row r="204" spans="2:56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</row>
    <row r="205" spans="2:56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</row>
    <row r="206" spans="2:56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</row>
    <row r="207" spans="2:56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</row>
    <row r="208" spans="2:56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</row>
    <row r="209" spans="2:56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</row>
    <row r="210" spans="2:56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</row>
    <row r="211" spans="2:56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</row>
    <row r="212" spans="2:56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</row>
    <row r="213" spans="2:56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</row>
    <row r="214" spans="2:56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</row>
    <row r="215" spans="2:56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</row>
    <row r="216" spans="2:56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</row>
    <row r="217" spans="2:56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</row>
    <row r="218" spans="2:56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</row>
    <row r="219" spans="2:56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</row>
    <row r="220" spans="2:56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</row>
    <row r="221" spans="2:56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</row>
    <row r="222" spans="2:56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</row>
    <row r="223" spans="2:56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</row>
    <row r="224" spans="2:56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</row>
    <row r="225" spans="2:56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</row>
    <row r="226" spans="2:56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</row>
    <row r="227" spans="2:56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</row>
    <row r="228" spans="2:56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</row>
    <row r="229" spans="2:56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</row>
    <row r="230" spans="2:56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</row>
    <row r="231" spans="2:56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</row>
    <row r="232" spans="2:56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</row>
    <row r="233" spans="2:56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</row>
    <row r="234" spans="2:56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</row>
    <row r="235" spans="2:56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</row>
    <row r="236" spans="2:56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</row>
    <row r="237" spans="2:56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</row>
    <row r="238" spans="2:56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</row>
    <row r="239" spans="2:56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</row>
    <row r="240" spans="2:56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</row>
    <row r="241" spans="2:56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</row>
    <row r="242" spans="2:56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</row>
    <row r="243" spans="2:56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</row>
    <row r="244" spans="2:56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</row>
    <row r="245" spans="2:56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</row>
    <row r="246" spans="2:56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</row>
    <row r="247" spans="2:56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</row>
    <row r="248" spans="2:56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</row>
    <row r="249" spans="2:56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</row>
    <row r="250" spans="2:56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</row>
    <row r="251" spans="2:56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</row>
    <row r="252" spans="2:56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</row>
    <row r="253" spans="2:56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</row>
    <row r="254" spans="2:56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</row>
    <row r="255" spans="2:56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</row>
    <row r="256" spans="2:56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</row>
    <row r="257" spans="2:56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</row>
    <row r="258" spans="2:56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</row>
    <row r="259" spans="2:56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</row>
    <row r="260" spans="2:56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</row>
    <row r="261" spans="2:56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</row>
    <row r="262" spans="2:56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</row>
    <row r="263" spans="2:56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</row>
    <row r="264" spans="2:56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</row>
    <row r="265" spans="2:56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</row>
    <row r="266" spans="2:56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</row>
    <row r="267" spans="2:56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</row>
    <row r="268" spans="2:56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</row>
    <row r="269" spans="2:56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</row>
    <row r="270" spans="2:56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</row>
    <row r="271" spans="2:56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</row>
    <row r="272" spans="2:56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</row>
    <row r="273" spans="2:56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</row>
    <row r="274" spans="2:56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</row>
    <row r="275" spans="2:56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</row>
    <row r="276" spans="2:56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</row>
    <row r="277" spans="2:56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</row>
    <row r="278" spans="2:56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</row>
    <row r="279" spans="2:56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</row>
    <row r="280" spans="2:56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</row>
    <row r="281" spans="2:56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</row>
    <row r="282" spans="2:56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</row>
    <row r="283" spans="2:56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</row>
    <row r="284" spans="2:56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</row>
    <row r="285" spans="2:56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</row>
    <row r="286" spans="2:56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</row>
    <row r="287" spans="2:56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</row>
    <row r="288" spans="2:56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</row>
    <row r="289" spans="2:56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</row>
    <row r="290" spans="2:56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</row>
    <row r="291" spans="2:56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</row>
    <row r="292" spans="2:56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</row>
    <row r="293" spans="2:56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</row>
    <row r="294" spans="2:56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</row>
    <row r="295" spans="2:56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</row>
    <row r="296" spans="2:56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</row>
    <row r="297" spans="2:56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</row>
    <row r="298" spans="2:56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</row>
    <row r="299" spans="2:56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</row>
    <row r="300" spans="2:56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</row>
    <row r="301" spans="2:56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</row>
    <row r="302" spans="2:56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</row>
    <row r="303" spans="2:56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</row>
    <row r="304" spans="2:56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</row>
    <row r="305" spans="2:56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</row>
    <row r="306" spans="2:56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</row>
    <row r="307" spans="2:56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</row>
    <row r="308" spans="2:56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</row>
    <row r="309" spans="2:56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</row>
    <row r="310" spans="2:56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</row>
    <row r="311" spans="2:56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</row>
    <row r="312" spans="2:56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</row>
    <row r="313" spans="2:56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</row>
    <row r="314" spans="2:56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</row>
    <row r="315" spans="2:56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</row>
    <row r="316" spans="2:56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</row>
    <row r="317" spans="2:56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</row>
    <row r="318" spans="2:56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</row>
    <row r="319" spans="2:56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</row>
    <row r="320" spans="2:56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</row>
    <row r="321" spans="2:56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</row>
    <row r="322" spans="2:56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</row>
    <row r="323" spans="2:56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</row>
    <row r="324" spans="2:56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</row>
    <row r="325" spans="2:56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</row>
    <row r="326" spans="2:56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</row>
    <row r="327" spans="2:56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</row>
    <row r="328" spans="2:56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</row>
    <row r="329" spans="2:56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</row>
    <row r="330" spans="2:56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</row>
    <row r="331" spans="2:56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</row>
    <row r="332" spans="2:56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</row>
    <row r="333" spans="2:56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</row>
    <row r="334" spans="2:56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</row>
    <row r="335" spans="2:56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</row>
    <row r="336" spans="2:56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</row>
    <row r="337" spans="2:56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</row>
    <row r="338" spans="2:56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</row>
    <row r="339" spans="2:56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</row>
    <row r="340" spans="2:56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</row>
    <row r="341" spans="2:56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</row>
    <row r="342" spans="2:56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</row>
    <row r="343" spans="2:56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</row>
    <row r="344" spans="2:56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</row>
    <row r="345" spans="2:56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</row>
    <row r="346" spans="2:56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</row>
    <row r="347" spans="2:56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</row>
    <row r="348" spans="2:56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</row>
    <row r="349" spans="2:56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</row>
    <row r="350" spans="2:56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</row>
    <row r="351" spans="2:56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</row>
    <row r="352" spans="2:56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</row>
    <row r="353" spans="2:56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</row>
    <row r="354" spans="2:56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</row>
    <row r="355" spans="2:56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</row>
    <row r="356" spans="2:56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</row>
    <row r="357" spans="2:56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</row>
    <row r="358" spans="2:56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</row>
    <row r="359" spans="2:56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</row>
    <row r="360" spans="2:56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</row>
  </sheetData>
  <mergeCells count="2">
    <mergeCell ref="B2:G2"/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60"/>
  <sheetViews>
    <sheetView workbookViewId="0">
      <pane xSplit="1" topLeftCell="B1" activePane="topRight" state="frozen"/>
      <selection pane="topRight" activeCell="B3" sqref="B3"/>
    </sheetView>
  </sheetViews>
  <sheetFormatPr baseColWidth="10" defaultColWidth="9.140625" defaultRowHeight="15" x14ac:dyDescent="0.25"/>
  <cols>
    <col min="1" max="1" width="52.7109375" bestFit="1" customWidth="1"/>
    <col min="2" max="2" width="33.5703125" customWidth="1"/>
    <col min="3" max="3" width="18.140625" customWidth="1"/>
    <col min="4" max="4" width="17.42578125" bestFit="1" customWidth="1"/>
    <col min="5" max="5" width="16.42578125" customWidth="1"/>
    <col min="6" max="6" width="16.7109375" customWidth="1"/>
    <col min="7" max="8" width="16.28515625" customWidth="1"/>
    <col min="9" max="9" width="17" customWidth="1"/>
    <col min="10" max="10" width="17.42578125" bestFit="1" customWidth="1"/>
    <col min="11" max="11" width="17.140625" customWidth="1"/>
    <col min="12" max="12" width="18.28515625" customWidth="1"/>
    <col min="13" max="13" width="18" customWidth="1"/>
    <col min="14" max="14" width="18.28515625" customWidth="1"/>
    <col min="15" max="15" width="33.140625" customWidth="1"/>
  </cols>
  <sheetData>
    <row r="2" spans="1:57" x14ac:dyDescent="0.25">
      <c r="C2" s="38" t="s">
        <v>0</v>
      </c>
      <c r="D2" s="38"/>
      <c r="E2" s="38"/>
      <c r="F2" s="38"/>
      <c r="G2" s="38"/>
      <c r="H2" s="38"/>
    </row>
    <row r="3" spans="1:57" x14ac:dyDescent="0.25">
      <c r="C3" s="38" t="s">
        <v>1</v>
      </c>
      <c r="D3" s="38"/>
      <c r="E3" s="38"/>
      <c r="F3" s="38"/>
      <c r="G3" s="38"/>
      <c r="H3" s="38"/>
    </row>
    <row r="4" spans="1:57" x14ac:dyDescent="0.25">
      <c r="C4" s="1"/>
      <c r="D4" s="1"/>
      <c r="E4" s="1"/>
      <c r="F4" s="1"/>
      <c r="G4" s="1"/>
      <c r="H4" s="1"/>
    </row>
    <row r="6" spans="1:57" s="26" customFormat="1" x14ac:dyDescent="0.25">
      <c r="B6" s="26" t="s">
        <v>28</v>
      </c>
      <c r="C6" s="7">
        <v>41640</v>
      </c>
      <c r="D6" s="7">
        <v>41671</v>
      </c>
      <c r="E6" s="7">
        <v>41699</v>
      </c>
      <c r="F6" s="7">
        <v>41730</v>
      </c>
      <c r="G6" s="7">
        <v>41760</v>
      </c>
      <c r="H6" s="7">
        <v>41791</v>
      </c>
      <c r="I6" s="7">
        <v>41821</v>
      </c>
      <c r="J6" s="7">
        <v>41852</v>
      </c>
      <c r="K6" s="7">
        <v>41883</v>
      </c>
      <c r="L6" s="7">
        <v>41913</v>
      </c>
      <c r="M6" s="7">
        <v>41944</v>
      </c>
      <c r="N6" s="7">
        <v>41974</v>
      </c>
      <c r="O6" s="26" t="s">
        <v>14</v>
      </c>
    </row>
    <row r="7" spans="1:57" x14ac:dyDescent="0.25">
      <c r="A7" s="3" t="s">
        <v>8</v>
      </c>
      <c r="B7" s="3"/>
    </row>
    <row r="8" spans="1:57" x14ac:dyDescent="0.25">
      <c r="A8" s="4" t="s">
        <v>2</v>
      </c>
      <c r="B8" s="12">
        <v>36115750.289999999</v>
      </c>
      <c r="C8" s="8">
        <f>38935523.26-B8</f>
        <v>2819772.9699999988</v>
      </c>
      <c r="D8" s="8">
        <f>42786247.82-C8-B8</f>
        <v>3850724.5600000024</v>
      </c>
      <c r="E8" s="8">
        <f>46868322.48-D8-C8-B8</f>
        <v>4082074.6599999964</v>
      </c>
      <c r="F8" s="8">
        <f>48476711.9-B8-C8-D8-E8</f>
        <v>1608389.4200000018</v>
      </c>
      <c r="G8" s="8">
        <f>51052170.68-F8-E8-D8-C8-B8</f>
        <v>2575458.7800000012</v>
      </c>
      <c r="H8" s="8">
        <f>55465792.62-G8-F8-E8-D8-C8-B8</f>
        <v>4413621.9399999976</v>
      </c>
      <c r="I8" s="8">
        <f>60528926.84-H8-G8-F8-E8-D8-C8-B8</f>
        <v>5063134.2200000063</v>
      </c>
      <c r="J8" s="8">
        <f>65150437.44-I8-H8-G8-F8-E8-D8-C8-B8</f>
        <v>4621510.599999994</v>
      </c>
      <c r="K8" s="8">
        <f>71239884.3-J8-I8-H8-G8-F8-E8-D8-C8-B8</f>
        <v>6089446.8599999994</v>
      </c>
      <c r="L8" s="2">
        <f>74475504.55-K8-J8-I8-H8-G8-F8-E8-D8-C8-B8</f>
        <v>3235620.25</v>
      </c>
      <c r="M8" s="2">
        <f>75796723.87-L8-K8-J8-I8-H8-G8-F8-E8-D8-C8-B8</f>
        <v>1321219.3200000077</v>
      </c>
      <c r="N8" s="2">
        <f>77633064.82-M8-L8-K8-J8-I8-H8-G8-F8-E8-D8-C8-B8</f>
        <v>1836340.9499999881</v>
      </c>
      <c r="O8" s="2">
        <f>SUM(B8:N8)</f>
        <v>77633064.819999993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4" t="s">
        <v>3</v>
      </c>
      <c r="B9" s="4"/>
      <c r="C9" s="8"/>
      <c r="D9" s="8"/>
      <c r="E9" s="8"/>
      <c r="F9" s="8"/>
      <c r="G9" s="8"/>
      <c r="H9" s="8"/>
      <c r="I9" s="8"/>
      <c r="J9" s="8"/>
      <c r="K9" s="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4" t="s">
        <v>12</v>
      </c>
      <c r="C10" s="8"/>
      <c r="D10" s="8">
        <v>2158495.67</v>
      </c>
      <c r="E10" s="8"/>
      <c r="F10" s="8">
        <f>2985512.57-D10</f>
        <v>827016.89999999991</v>
      </c>
      <c r="G10" s="8">
        <f>3984235.9-F10-D10</f>
        <v>998723.33000000007</v>
      </c>
      <c r="H10" s="8">
        <f>5123286.75-G10-F10-D10</f>
        <v>1139050.8500000001</v>
      </c>
      <c r="I10" s="8">
        <f>6154759.71-H10-G10-F10-D10</f>
        <v>1031472.9599999995</v>
      </c>
      <c r="J10" s="8">
        <f>7334396.64-I10-H10-G10-F10-D10</f>
        <v>1179636.9300000002</v>
      </c>
      <c r="K10" s="8">
        <f>7376093.65-J10-I10-H10-G10-F10-D10</f>
        <v>41697.010000001639</v>
      </c>
      <c r="L10" s="2">
        <f>8784727.13-K10-J10-I10-H10-G10-F10-D10</f>
        <v>1408633.4800000009</v>
      </c>
      <c r="M10" s="2">
        <f>10115007.51-L10-K10-J10-I10-H10-G10-F10-D10</f>
        <v>1330280.3799999994</v>
      </c>
      <c r="N10" s="2">
        <f>10115007.51-M10-L10-K10-J10-I10-H10-G10-F10-D10</f>
        <v>0</v>
      </c>
      <c r="O10" s="2">
        <f>SUM(B10:N10)</f>
        <v>10115007.51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C11" s="8"/>
      <c r="D11" s="8"/>
      <c r="E11" s="8"/>
      <c r="F11" s="8"/>
      <c r="G11" s="8"/>
      <c r="H11" s="8"/>
      <c r="I11" s="8"/>
      <c r="J11" s="8"/>
      <c r="K11" s="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s="10" customFormat="1" ht="15.75" thickBot="1" x14ac:dyDescent="0.3">
      <c r="A12" s="5" t="s">
        <v>9</v>
      </c>
      <c r="B12" s="6">
        <v>36115750.289999999</v>
      </c>
      <c r="C12" s="9">
        <f>SUM(C8:C11)</f>
        <v>2819772.9699999988</v>
      </c>
      <c r="D12" s="9">
        <f t="shared" ref="D12:N12" si="0">SUM(D8:D11)</f>
        <v>6009220.2300000023</v>
      </c>
      <c r="E12" s="9">
        <f t="shared" si="0"/>
        <v>4082074.6599999964</v>
      </c>
      <c r="F12" s="9">
        <f t="shared" si="0"/>
        <v>2435406.3200000017</v>
      </c>
      <c r="G12" s="9">
        <f t="shared" si="0"/>
        <v>3574182.1100000013</v>
      </c>
      <c r="H12" s="9">
        <f t="shared" si="0"/>
        <v>5552672.7899999972</v>
      </c>
      <c r="I12" s="9">
        <f t="shared" si="0"/>
        <v>6094607.1800000053</v>
      </c>
      <c r="J12" s="9">
        <f t="shared" si="0"/>
        <v>5801147.5299999937</v>
      </c>
      <c r="K12" s="9">
        <f t="shared" si="0"/>
        <v>6131143.870000001</v>
      </c>
      <c r="L12" s="9">
        <f t="shared" si="0"/>
        <v>4644253.7300000004</v>
      </c>
      <c r="M12" s="9">
        <f t="shared" si="0"/>
        <v>2651499.7000000072</v>
      </c>
      <c r="N12" s="9">
        <f t="shared" si="0"/>
        <v>1836340.9499999881</v>
      </c>
      <c r="O12" s="9">
        <f>SUM(O8:O11)</f>
        <v>87748072.329999998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</row>
    <row r="13" spans="1:57" s="10" customFormat="1" ht="16.5" thickTop="1" thickBot="1" x14ac:dyDescent="0.3">
      <c r="A13" s="17" t="s">
        <v>18</v>
      </c>
      <c r="B13" s="30">
        <v>6.5250000000000004</v>
      </c>
      <c r="C13" s="20">
        <v>8.02</v>
      </c>
      <c r="D13" s="20">
        <v>7.9</v>
      </c>
      <c r="E13" s="20">
        <v>8.0299999999999994</v>
      </c>
      <c r="F13" s="20">
        <v>8.0299999999999994</v>
      </c>
      <c r="G13" s="20">
        <v>8.11</v>
      </c>
      <c r="H13" s="20">
        <v>8.16</v>
      </c>
      <c r="I13" s="20">
        <v>8.2200000000000006</v>
      </c>
      <c r="J13" s="20">
        <v>8.4</v>
      </c>
      <c r="K13" s="20">
        <v>8.41</v>
      </c>
      <c r="L13" s="20">
        <v>8.4949999999999992</v>
      </c>
      <c r="M13" s="20">
        <v>8.5299999999999994</v>
      </c>
      <c r="N13" s="20">
        <v>8.56</v>
      </c>
      <c r="O13" s="20">
        <v>8.56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</row>
    <row r="14" spans="1:57" s="10" customFormat="1" ht="16.5" thickTop="1" thickBot="1" x14ac:dyDescent="0.3">
      <c r="A14" s="17" t="s">
        <v>19</v>
      </c>
      <c r="B14" s="29">
        <f>B12/B13</f>
        <v>5534980.8873563213</v>
      </c>
      <c r="C14" s="29">
        <f t="shared" ref="C14:O14" si="1">C12/C13</f>
        <v>351592.63965087268</v>
      </c>
      <c r="D14" s="29">
        <f t="shared" si="1"/>
        <v>760660.78860759514</v>
      </c>
      <c r="E14" s="29">
        <f t="shared" si="1"/>
        <v>508353.00871730968</v>
      </c>
      <c r="F14" s="29">
        <f t="shared" si="1"/>
        <v>303288.45828144479</v>
      </c>
      <c r="G14" s="29">
        <f t="shared" si="1"/>
        <v>440712.96054254024</v>
      </c>
      <c r="H14" s="29">
        <f t="shared" si="1"/>
        <v>680474.60661764676</v>
      </c>
      <c r="I14" s="29">
        <f t="shared" si="1"/>
        <v>741436.39659367455</v>
      </c>
      <c r="J14" s="29">
        <f t="shared" si="1"/>
        <v>690612.80119047547</v>
      </c>
      <c r="K14" s="29">
        <f t="shared" si="1"/>
        <v>729030.1866825209</v>
      </c>
      <c r="L14" s="29">
        <f t="shared" si="1"/>
        <v>546704.38257798715</v>
      </c>
      <c r="M14" s="29">
        <f t="shared" si="1"/>
        <v>310844.04454865266</v>
      </c>
      <c r="N14" s="29">
        <f t="shared" si="1"/>
        <v>214525.81191588644</v>
      </c>
      <c r="O14" s="29">
        <f t="shared" si="1"/>
        <v>10250943.029205607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57" ht="15.75" thickTop="1" x14ac:dyDescent="0.25">
      <c r="C15" s="8"/>
      <c r="D15" s="8"/>
      <c r="E15" s="8"/>
      <c r="F15" s="8"/>
      <c r="G15" s="8"/>
      <c r="H15" s="8"/>
      <c r="I15" s="8"/>
      <c r="J15" s="8"/>
      <c r="K15" s="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C16" s="8"/>
      <c r="D16" s="8"/>
      <c r="E16" s="8"/>
      <c r="F16" s="8"/>
      <c r="G16" s="8"/>
      <c r="H16" s="8"/>
      <c r="I16" s="8"/>
      <c r="J16" s="8"/>
      <c r="K16" s="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" t="s">
        <v>10</v>
      </c>
      <c r="B17" s="3"/>
      <c r="C17" s="8"/>
      <c r="D17" s="8"/>
      <c r="E17" s="8"/>
      <c r="F17" s="8"/>
      <c r="G17" s="8"/>
      <c r="H17" s="8"/>
      <c r="I17" s="8"/>
      <c r="J17" s="8"/>
      <c r="K17" s="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4" t="s">
        <v>4</v>
      </c>
      <c r="B18" s="12">
        <v>4578824.3499999996</v>
      </c>
      <c r="C18" s="8">
        <f>4596538.75-B18</f>
        <v>17714.400000000373</v>
      </c>
      <c r="D18" s="8">
        <f>4829245.95-C18-B18</f>
        <v>232707.20000000019</v>
      </c>
      <c r="E18" s="8">
        <f>4838103.15-D18-C18-B18</f>
        <v>8857.2000000001863</v>
      </c>
      <c r="F18" s="8">
        <f>4838103.15-E18-D18-C18-B18</f>
        <v>0</v>
      </c>
      <c r="G18" s="8">
        <f>4855817.55-F18-E18-D18-C18-B18</f>
        <v>17714.399999999441</v>
      </c>
      <c r="H18" s="8">
        <f>4864674.75-G18-F18-E18-D18-C18-B18</f>
        <v>8857.2000000001863</v>
      </c>
      <c r="I18" s="8">
        <f>4864674.75-H18-G18-F18-E18-D18-C18-B18</f>
        <v>0</v>
      </c>
      <c r="J18" s="8">
        <f>4873531.95-I18-H18-G18-F18-E18-D18-C18-B18</f>
        <v>8857.2000000001863</v>
      </c>
      <c r="K18" s="8">
        <f>4883893.39-J18-I18-H18-G18-F18-E18-D18-C18-B18</f>
        <v>10361.439999999478</v>
      </c>
      <c r="L18" s="2">
        <f>5272738.18-K18-J18-I18-H18-G18-F18-E18-D18-C18-B18</f>
        <v>388844.79000000004</v>
      </c>
      <c r="M18" s="2">
        <f>5314734.18-L18-K18-J18-I18-H18-G18-F18-E18-D18-C18-B18</f>
        <v>41996</v>
      </c>
      <c r="N18" s="2">
        <f>5314734.18-M18-L18-K18-J18-I18-H18-G18-F18-E18-D18-C18-B18</f>
        <v>0</v>
      </c>
      <c r="O18" s="2">
        <f>SUM(B18:N18)</f>
        <v>5314734.18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4" t="s">
        <v>5</v>
      </c>
      <c r="B19" s="12">
        <v>2373241.77</v>
      </c>
      <c r="C19" s="8">
        <f>1999930.47+393382.65-B19</f>
        <v>20071.350000000093</v>
      </c>
      <c r="D19" s="8">
        <f>5179918.09+432038.46-C19-B19</f>
        <v>3218643.4299999992</v>
      </c>
      <c r="E19" s="8">
        <f>5179918.09+456979.69-D19-C19-B19</f>
        <v>24941.230000000913</v>
      </c>
      <c r="F19" s="8">
        <f>5179918.09+486615.55-B19-C19-D19-E19</f>
        <v>29635.859999999404</v>
      </c>
      <c r="G19" s="8">
        <f>5179918.09+815292.44-F19-E19-D19-C19-B19</f>
        <v>328676.89000000013</v>
      </c>
      <c r="H19" s="8">
        <f>6720927.64+939232.84-G19-F19-E19-D19-C19-B19</f>
        <v>1664949.9500000007</v>
      </c>
      <c r="I19" s="8">
        <f>6720927.64+1019161.85-H19-G19-F19-E19-D19-C19-B19</f>
        <v>79929.009999999311</v>
      </c>
      <c r="J19" s="8">
        <f>6720927.64+1101103.25-I19-H19-G19-F19-E19-D19-C19-B19</f>
        <v>81941.399999999907</v>
      </c>
      <c r="K19" s="8">
        <f>6720927.64+1200351.63-J19-I19-H19-G19-F19-E19-D19-C19-B19</f>
        <v>99248.379999998491</v>
      </c>
      <c r="L19" s="2">
        <f>6720927.64+1273194.6-K19-J19-I19-H19-G19-F19-E19-D19-C19-B19</f>
        <v>72842.970000000205</v>
      </c>
      <c r="M19" s="2">
        <f>6720927.64+1334701.65-L19-K19-J19-I19-H19-G19-F19-E19-D19-C19-B19</f>
        <v>61507.049999998417</v>
      </c>
      <c r="N19" s="2">
        <f>6720927.64+1352851.65-M19-L19-K19-J19-I19-H19-G19-F19-E19-D19-C19-B19</f>
        <v>18149.999999999534</v>
      </c>
      <c r="O19" s="2">
        <f t="shared" ref="O19:O21" si="2">SUM(B19:N19)</f>
        <v>8073779.2899999991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4" t="s">
        <v>7</v>
      </c>
      <c r="B20" s="12">
        <v>28000000</v>
      </c>
      <c r="C20" s="8">
        <v>0</v>
      </c>
      <c r="D20" s="8">
        <f>-B20+1032552.87</f>
        <v>-26967447.129999999</v>
      </c>
      <c r="E20" s="8"/>
      <c r="F20" s="8"/>
      <c r="G20" s="8">
        <f>-(B20+D20)+752891.71</f>
        <v>-279661.16000000108</v>
      </c>
      <c r="H20" s="8"/>
      <c r="I20" s="8"/>
      <c r="J20" s="8"/>
      <c r="K20" s="8"/>
      <c r="L20" s="2">
        <f>3152891.71-G20-D20-B20</f>
        <v>2400000</v>
      </c>
      <c r="M20" s="2">
        <f>72152891.71-L20-G20-D20-B20</f>
        <v>68999999.999999985</v>
      </c>
      <c r="N20" s="2">
        <f>72152891.71-M20-L20-G20-D20-B20</f>
        <v>0</v>
      </c>
      <c r="O20" s="2">
        <f t="shared" si="2"/>
        <v>72152891.709999979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4" t="s">
        <v>13</v>
      </c>
      <c r="C21" s="8"/>
      <c r="D21" s="8">
        <v>32500000</v>
      </c>
      <c r="E21" s="8"/>
      <c r="F21" s="8">
        <f>37416983.64-D21</f>
        <v>4916983.6400000006</v>
      </c>
      <c r="G21" s="8">
        <f>41600000-D21-F21</f>
        <v>4183016.3599999994</v>
      </c>
      <c r="H21" s="8">
        <f>44500000-G21-F21-D21</f>
        <v>2900000</v>
      </c>
      <c r="I21" s="8">
        <f>52000000-H21-G21-F21-D21</f>
        <v>7500000</v>
      </c>
      <c r="J21" s="8">
        <f>1800000-I21-H21-G21-F21-D21</f>
        <v>-50200000</v>
      </c>
      <c r="K21" s="8">
        <f>62000000-J21-I21-H21-G21-F21-D21</f>
        <v>60200000</v>
      </c>
      <c r="L21" s="2">
        <f>65000000-K21-J21-I21-H21-G21-F21-D21</f>
        <v>3000000</v>
      </c>
      <c r="M21" s="2">
        <f>0-L21-K21-J21-I21-H21-G21-F21-D21</f>
        <v>-65000000</v>
      </c>
      <c r="N21" s="2"/>
      <c r="O21" s="2">
        <f t="shared" si="2"/>
        <v>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C22" s="8"/>
      <c r="D22" s="8"/>
      <c r="E22" s="8"/>
      <c r="F22" s="8"/>
      <c r="G22" s="8"/>
      <c r="H22" s="8"/>
      <c r="I22" s="8"/>
      <c r="J22" s="8"/>
      <c r="K22" s="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C23" s="8"/>
      <c r="D23" s="8"/>
      <c r="E23" s="8"/>
      <c r="F23" s="8"/>
      <c r="G23" s="8"/>
      <c r="H23" s="8"/>
      <c r="I23" s="8"/>
      <c r="J23" s="8"/>
      <c r="K23" s="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s="10" customFormat="1" ht="15.75" thickBot="1" x14ac:dyDescent="0.3">
      <c r="A24" s="5" t="s">
        <v>11</v>
      </c>
      <c r="B24" s="6">
        <v>34952066.119999997</v>
      </c>
      <c r="C24" s="9">
        <f t="shared" ref="C24:K24" si="3">SUM(C18:C23)</f>
        <v>37785.750000000466</v>
      </c>
      <c r="D24" s="9">
        <f t="shared" si="3"/>
        <v>8983903.5</v>
      </c>
      <c r="E24" s="9">
        <f t="shared" si="3"/>
        <v>33798.430000001099</v>
      </c>
      <c r="F24" s="9">
        <f t="shared" si="3"/>
        <v>4946619.5</v>
      </c>
      <c r="G24" s="9">
        <f t="shared" si="3"/>
        <v>4249746.4899999984</v>
      </c>
      <c r="H24" s="9">
        <f t="shared" si="3"/>
        <v>4573807.1500000004</v>
      </c>
      <c r="I24" s="9">
        <f t="shared" si="3"/>
        <v>7579929.0099999998</v>
      </c>
      <c r="J24" s="9">
        <f t="shared" si="3"/>
        <v>-50109201.399999999</v>
      </c>
      <c r="K24" s="9">
        <f t="shared" si="3"/>
        <v>60309609.82</v>
      </c>
      <c r="L24" s="9">
        <f t="shared" ref="L24:N24" si="4">SUM(L18:L23)</f>
        <v>5861687.7599999998</v>
      </c>
      <c r="M24" s="9">
        <f t="shared" si="4"/>
        <v>4103503.0499999821</v>
      </c>
      <c r="N24" s="9">
        <f t="shared" si="4"/>
        <v>18149.999999999534</v>
      </c>
      <c r="O24" s="9">
        <f>SUM(O18:O23)</f>
        <v>85541405.179999977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</row>
    <row r="25" spans="1:57" s="10" customFormat="1" ht="16.5" thickTop="1" thickBot="1" x14ac:dyDescent="0.3">
      <c r="A25" s="17" t="s">
        <v>18</v>
      </c>
      <c r="B25" s="30">
        <f>B13</f>
        <v>6.5250000000000004</v>
      </c>
      <c r="C25" s="30">
        <f t="shared" ref="C25:O25" si="5">C13</f>
        <v>8.02</v>
      </c>
      <c r="D25" s="30">
        <f t="shared" si="5"/>
        <v>7.9</v>
      </c>
      <c r="E25" s="30">
        <f t="shared" si="5"/>
        <v>8.0299999999999994</v>
      </c>
      <c r="F25" s="30">
        <f t="shared" si="5"/>
        <v>8.0299999999999994</v>
      </c>
      <c r="G25" s="30">
        <f t="shared" si="5"/>
        <v>8.11</v>
      </c>
      <c r="H25" s="30">
        <f t="shared" si="5"/>
        <v>8.16</v>
      </c>
      <c r="I25" s="30">
        <f t="shared" si="5"/>
        <v>8.2200000000000006</v>
      </c>
      <c r="J25" s="30">
        <f t="shared" si="5"/>
        <v>8.4</v>
      </c>
      <c r="K25" s="30">
        <f t="shared" si="5"/>
        <v>8.41</v>
      </c>
      <c r="L25" s="30">
        <f t="shared" si="5"/>
        <v>8.4949999999999992</v>
      </c>
      <c r="M25" s="30">
        <f t="shared" si="5"/>
        <v>8.5299999999999994</v>
      </c>
      <c r="N25" s="30">
        <f t="shared" si="5"/>
        <v>8.56</v>
      </c>
      <c r="O25" s="30">
        <f t="shared" si="5"/>
        <v>8.56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</row>
    <row r="26" spans="1:57" s="10" customFormat="1" ht="16.5" thickTop="1" thickBot="1" x14ac:dyDescent="0.3">
      <c r="A26" s="31" t="s">
        <v>20</v>
      </c>
      <c r="B26" s="32">
        <f>B24/B25</f>
        <v>5356638.4858237542</v>
      </c>
      <c r="C26" s="32">
        <f t="shared" ref="C26:O26" si="6">C24/C25</f>
        <v>4711.4401496259934</v>
      </c>
      <c r="D26" s="32">
        <f t="shared" si="6"/>
        <v>1137202.9746835444</v>
      </c>
      <c r="E26" s="32">
        <f t="shared" si="6"/>
        <v>4209.0199252803368</v>
      </c>
      <c r="F26" s="32">
        <f t="shared" si="6"/>
        <v>616017.3723536738</v>
      </c>
      <c r="G26" s="32">
        <f t="shared" si="6"/>
        <v>524013.13070283586</v>
      </c>
      <c r="H26" s="32">
        <f t="shared" si="6"/>
        <v>560515.58210784313</v>
      </c>
      <c r="I26" s="32">
        <f t="shared" si="6"/>
        <v>922132.48296836973</v>
      </c>
      <c r="J26" s="32">
        <f t="shared" si="6"/>
        <v>-5965381.1190476185</v>
      </c>
      <c r="K26" s="32">
        <f t="shared" si="6"/>
        <v>7171178.3376932219</v>
      </c>
      <c r="L26" s="32">
        <f t="shared" si="6"/>
        <v>690016.21659799886</v>
      </c>
      <c r="M26" s="32">
        <f t="shared" si="6"/>
        <v>481067.1805392711</v>
      </c>
      <c r="N26" s="32">
        <f t="shared" si="6"/>
        <v>2120.3271028036838</v>
      </c>
      <c r="O26" s="32">
        <f t="shared" si="6"/>
        <v>9993154.8107476607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</row>
    <row r="27" spans="1:57" s="10" customFormat="1" ht="15.75" thickTop="1" x14ac:dyDescent="0.25">
      <c r="B27" s="1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</row>
    <row r="28" spans="1:57" x14ac:dyDescent="0.25">
      <c r="C28" s="8"/>
      <c r="D28" s="8"/>
      <c r="E28" s="8"/>
      <c r="F28" s="8"/>
      <c r="G28" s="8"/>
      <c r="H28" s="8"/>
      <c r="I28" s="8"/>
      <c r="J28" s="8"/>
      <c r="K28" s="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s="10" customFormat="1" ht="15.75" thickBot="1" x14ac:dyDescent="0.3">
      <c r="A29" s="5" t="s">
        <v>6</v>
      </c>
      <c r="B29" s="6">
        <v>1163684.1700000018</v>
      </c>
      <c r="C29" s="9">
        <f t="shared" ref="C29:N29" si="7">C12-C24</f>
        <v>2781987.2199999983</v>
      </c>
      <c r="D29" s="9">
        <f t="shared" si="7"/>
        <v>-2974683.2699999977</v>
      </c>
      <c r="E29" s="9">
        <f t="shared" si="7"/>
        <v>4048276.2299999953</v>
      </c>
      <c r="F29" s="9">
        <f t="shared" si="7"/>
        <v>-2511213.1799999983</v>
      </c>
      <c r="G29" s="9">
        <f t="shared" si="7"/>
        <v>-675564.37999999709</v>
      </c>
      <c r="H29" s="9">
        <f t="shared" si="7"/>
        <v>978865.63999999687</v>
      </c>
      <c r="I29" s="9">
        <f t="shared" si="7"/>
        <v>-1485321.8299999945</v>
      </c>
      <c r="J29" s="9">
        <f t="shared" si="7"/>
        <v>55910348.929999992</v>
      </c>
      <c r="K29" s="9">
        <f t="shared" si="7"/>
        <v>-54178465.950000003</v>
      </c>
      <c r="L29" s="9">
        <f t="shared" si="7"/>
        <v>-1217434.0299999993</v>
      </c>
      <c r="M29" s="9">
        <f t="shared" si="7"/>
        <v>-1452003.3499999749</v>
      </c>
      <c r="N29" s="9">
        <f t="shared" si="7"/>
        <v>1818190.9499999885</v>
      </c>
      <c r="O29" s="9">
        <f>O12-O24</f>
        <v>2206667.1500000209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</row>
    <row r="30" spans="1:57" ht="16.5" thickTop="1" thickBot="1" x14ac:dyDescent="0.3">
      <c r="A30" s="18" t="s">
        <v>21</v>
      </c>
      <c r="B30" s="22">
        <f>B14-B26</f>
        <v>178342.40153256711</v>
      </c>
      <c r="C30" s="22">
        <f t="shared" ref="C30:O30" si="8">C14-C26</f>
        <v>346881.19950124668</v>
      </c>
      <c r="D30" s="22">
        <f t="shared" si="8"/>
        <v>-376542.18607594923</v>
      </c>
      <c r="E30" s="22">
        <f t="shared" si="8"/>
        <v>504143.98879202933</v>
      </c>
      <c r="F30" s="22">
        <f t="shared" si="8"/>
        <v>-312728.914072229</v>
      </c>
      <c r="G30" s="22">
        <f t="shared" si="8"/>
        <v>-83300.170160295616</v>
      </c>
      <c r="H30" s="22">
        <f t="shared" si="8"/>
        <v>119959.02450980362</v>
      </c>
      <c r="I30" s="22">
        <f t="shared" si="8"/>
        <v>-180696.08637469518</v>
      </c>
      <c r="J30" s="22">
        <f t="shared" si="8"/>
        <v>6655993.9202380944</v>
      </c>
      <c r="K30" s="22">
        <f t="shared" si="8"/>
        <v>-6442148.1510107014</v>
      </c>
      <c r="L30" s="22">
        <f t="shared" si="8"/>
        <v>-143311.83402001171</v>
      </c>
      <c r="M30" s="22">
        <f t="shared" si="8"/>
        <v>-170223.13599061844</v>
      </c>
      <c r="N30" s="22">
        <f t="shared" si="8"/>
        <v>212405.48481308276</v>
      </c>
      <c r="O30" s="22">
        <f t="shared" si="8"/>
        <v>257788.21845794655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5.75" thickTop="1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19" t="s">
        <v>22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3:57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3:57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3:57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3:57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3:57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3:57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3:57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3:57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3:57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3:57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3:57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3:57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3:57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3:57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3:57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3:57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3:57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3:57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3:57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3:57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3:57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3:57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3:57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3:57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3:57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3:57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3:57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3:57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3:57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3:57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3:57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3:57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3:57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3:57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3:57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3:57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3:57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3:57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3:57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3:57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3:57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spans="3:57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spans="3:57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spans="3:57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spans="3:57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  <row r="94" spans="3:57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</row>
    <row r="95" spans="3:57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</row>
    <row r="96" spans="3:57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</row>
    <row r="97" spans="3:57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  <row r="98" spans="3:57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</row>
    <row r="99" spans="3:57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</row>
    <row r="100" spans="3:57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</row>
    <row r="101" spans="3:57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</row>
    <row r="102" spans="3:57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</row>
    <row r="103" spans="3:57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</row>
    <row r="104" spans="3:57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3:57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3:57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</row>
    <row r="107" spans="3:57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spans="3:57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</row>
    <row r="109" spans="3:57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</row>
    <row r="110" spans="3:57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</row>
    <row r="111" spans="3:57" x14ac:dyDescent="0.2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</row>
    <row r="112" spans="3:57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</row>
    <row r="113" spans="3:57" x14ac:dyDescent="0.2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4" spans="3:57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</row>
    <row r="115" spans="3:57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</row>
    <row r="116" spans="3:57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</row>
    <row r="117" spans="3:57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</row>
    <row r="118" spans="3:57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</row>
    <row r="119" spans="3:57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</row>
    <row r="120" spans="3:57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</row>
    <row r="121" spans="3:57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</row>
    <row r="122" spans="3:57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</row>
    <row r="123" spans="3:57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</row>
    <row r="124" spans="3:57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</row>
    <row r="125" spans="3:57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</row>
    <row r="126" spans="3:57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</row>
    <row r="127" spans="3:57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</row>
    <row r="128" spans="3:57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</row>
    <row r="129" spans="3:57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</row>
    <row r="130" spans="3:57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</row>
    <row r="131" spans="3:57" x14ac:dyDescent="0.2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</row>
    <row r="132" spans="3:57" x14ac:dyDescent="0.2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</row>
    <row r="133" spans="3:57" x14ac:dyDescent="0.2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</row>
    <row r="134" spans="3:57" x14ac:dyDescent="0.2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</row>
    <row r="135" spans="3:57" x14ac:dyDescent="0.2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</row>
    <row r="136" spans="3:57" x14ac:dyDescent="0.2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</row>
    <row r="137" spans="3:57" x14ac:dyDescent="0.2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</row>
    <row r="138" spans="3:57" x14ac:dyDescent="0.2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</row>
    <row r="139" spans="3:57" x14ac:dyDescent="0.2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</row>
    <row r="140" spans="3:57" x14ac:dyDescent="0.2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</row>
    <row r="141" spans="3:57" x14ac:dyDescent="0.2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</row>
    <row r="142" spans="3:57" x14ac:dyDescent="0.2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</row>
    <row r="143" spans="3:57" x14ac:dyDescent="0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</row>
    <row r="144" spans="3:57" x14ac:dyDescent="0.2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</row>
    <row r="145" spans="3:57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</row>
    <row r="146" spans="3:57" x14ac:dyDescent="0.2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</row>
    <row r="147" spans="3:57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</row>
    <row r="148" spans="3:57" x14ac:dyDescent="0.2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</row>
    <row r="149" spans="3:57" x14ac:dyDescent="0.2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</row>
    <row r="150" spans="3:57" x14ac:dyDescent="0.2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</row>
    <row r="151" spans="3:57" x14ac:dyDescent="0.2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</row>
    <row r="152" spans="3:57" x14ac:dyDescent="0.2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</row>
    <row r="153" spans="3:57" x14ac:dyDescent="0.2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</row>
    <row r="154" spans="3:57" x14ac:dyDescent="0.2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</row>
    <row r="155" spans="3:57" x14ac:dyDescent="0.2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</row>
    <row r="156" spans="3:57" x14ac:dyDescent="0.2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</row>
    <row r="157" spans="3:57" x14ac:dyDescent="0.2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</row>
    <row r="158" spans="3:57" x14ac:dyDescent="0.2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</row>
    <row r="159" spans="3:57" x14ac:dyDescent="0.2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</row>
    <row r="160" spans="3:57" x14ac:dyDescent="0.2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</row>
    <row r="161" spans="3:57" x14ac:dyDescent="0.2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</row>
    <row r="162" spans="3:57" x14ac:dyDescent="0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</row>
    <row r="163" spans="3:57" x14ac:dyDescent="0.2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</row>
    <row r="164" spans="3:57" x14ac:dyDescent="0.2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</row>
    <row r="165" spans="3:57" x14ac:dyDescent="0.2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</row>
    <row r="166" spans="3:57" x14ac:dyDescent="0.2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</row>
    <row r="167" spans="3:57" x14ac:dyDescent="0.2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</row>
    <row r="168" spans="3:57" x14ac:dyDescent="0.2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</row>
    <row r="169" spans="3:57" x14ac:dyDescent="0.2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</row>
    <row r="170" spans="3:57" x14ac:dyDescent="0.2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</row>
    <row r="171" spans="3:57" x14ac:dyDescent="0.2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</row>
    <row r="172" spans="3:57" x14ac:dyDescent="0.2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</row>
    <row r="173" spans="3:57" x14ac:dyDescent="0.2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</row>
    <row r="174" spans="3:57" x14ac:dyDescent="0.2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</row>
    <row r="175" spans="3:57" x14ac:dyDescent="0.2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</row>
    <row r="176" spans="3:57" x14ac:dyDescent="0.2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</row>
    <row r="177" spans="3:57" x14ac:dyDescent="0.2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</row>
    <row r="178" spans="3:57" x14ac:dyDescent="0.2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</row>
    <row r="179" spans="3:57" x14ac:dyDescent="0.2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</row>
    <row r="180" spans="3:57" x14ac:dyDescent="0.2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</row>
    <row r="181" spans="3:57" x14ac:dyDescent="0.2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</row>
    <row r="182" spans="3:57" x14ac:dyDescent="0.2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</row>
    <row r="183" spans="3:57" x14ac:dyDescent="0.2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</row>
    <row r="184" spans="3:57" x14ac:dyDescent="0.2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</row>
    <row r="185" spans="3:57" x14ac:dyDescent="0.2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</row>
    <row r="186" spans="3:57" x14ac:dyDescent="0.2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</row>
    <row r="187" spans="3:57" x14ac:dyDescent="0.2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</row>
    <row r="188" spans="3:57" x14ac:dyDescent="0.2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</row>
    <row r="189" spans="3:57" x14ac:dyDescent="0.2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</row>
    <row r="190" spans="3:57" x14ac:dyDescent="0.2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</row>
    <row r="191" spans="3:57" x14ac:dyDescent="0.2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</row>
    <row r="192" spans="3:57" x14ac:dyDescent="0.2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</row>
    <row r="193" spans="3:57" x14ac:dyDescent="0.2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</row>
    <row r="194" spans="3:57" x14ac:dyDescent="0.2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</row>
    <row r="195" spans="3:57" x14ac:dyDescent="0.2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</row>
    <row r="196" spans="3:57" x14ac:dyDescent="0.2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</row>
    <row r="197" spans="3:57" x14ac:dyDescent="0.2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</row>
    <row r="198" spans="3:57" x14ac:dyDescent="0.2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</row>
    <row r="199" spans="3:57" x14ac:dyDescent="0.2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</row>
    <row r="200" spans="3:57" x14ac:dyDescent="0.2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</row>
    <row r="201" spans="3:57" x14ac:dyDescent="0.2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</row>
    <row r="202" spans="3:57" x14ac:dyDescent="0.2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</row>
    <row r="203" spans="3:57" x14ac:dyDescent="0.2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</row>
    <row r="204" spans="3:57" x14ac:dyDescent="0.2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</row>
    <row r="205" spans="3:57" x14ac:dyDescent="0.2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</row>
    <row r="206" spans="3:57" x14ac:dyDescent="0.2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</row>
    <row r="207" spans="3:57" x14ac:dyDescent="0.2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</row>
    <row r="208" spans="3:57" x14ac:dyDescent="0.2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</row>
    <row r="209" spans="3:57" x14ac:dyDescent="0.2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</row>
    <row r="210" spans="3:57" x14ac:dyDescent="0.2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</row>
    <row r="211" spans="3:57" x14ac:dyDescent="0.2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</row>
    <row r="212" spans="3:57" x14ac:dyDescent="0.2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</row>
    <row r="213" spans="3:57" x14ac:dyDescent="0.2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</row>
    <row r="214" spans="3:57" x14ac:dyDescent="0.2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</row>
    <row r="215" spans="3:57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</row>
    <row r="216" spans="3:57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</row>
    <row r="217" spans="3:57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</row>
    <row r="218" spans="3:57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</row>
    <row r="219" spans="3:57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</row>
    <row r="220" spans="3:57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</row>
    <row r="221" spans="3:57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</row>
    <row r="222" spans="3:57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</row>
    <row r="223" spans="3:57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</row>
    <row r="224" spans="3:57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</row>
    <row r="225" spans="3:57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</row>
    <row r="226" spans="3:57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</row>
    <row r="227" spans="3:57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</row>
    <row r="228" spans="3:57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</row>
    <row r="229" spans="3:57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</row>
    <row r="230" spans="3:57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</row>
    <row r="231" spans="3:57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</row>
    <row r="232" spans="3:57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</row>
    <row r="233" spans="3:57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</row>
    <row r="234" spans="3:57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</row>
    <row r="235" spans="3:57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</row>
    <row r="236" spans="3:57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</row>
    <row r="237" spans="3:57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</row>
    <row r="238" spans="3:57" x14ac:dyDescent="0.2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</row>
    <row r="239" spans="3:57" x14ac:dyDescent="0.2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</row>
    <row r="240" spans="3:57" x14ac:dyDescent="0.2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</row>
    <row r="241" spans="3:57" x14ac:dyDescent="0.2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</row>
    <row r="242" spans="3:57" x14ac:dyDescent="0.2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</row>
    <row r="243" spans="3:57" x14ac:dyDescent="0.2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</row>
    <row r="244" spans="3:57" x14ac:dyDescent="0.2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</row>
    <row r="245" spans="3:57" x14ac:dyDescent="0.2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</row>
    <row r="246" spans="3:57" x14ac:dyDescent="0.2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</row>
    <row r="247" spans="3:57" x14ac:dyDescent="0.2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</row>
    <row r="248" spans="3:57" x14ac:dyDescent="0.2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</row>
    <row r="249" spans="3:57" x14ac:dyDescent="0.2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</row>
    <row r="250" spans="3:57" x14ac:dyDescent="0.2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</row>
    <row r="251" spans="3:57" x14ac:dyDescent="0.2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</row>
    <row r="252" spans="3:57" x14ac:dyDescent="0.2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</row>
    <row r="253" spans="3:57" x14ac:dyDescent="0.2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</row>
    <row r="254" spans="3:57" x14ac:dyDescent="0.2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</row>
    <row r="255" spans="3:57" x14ac:dyDescent="0.2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</row>
    <row r="256" spans="3:57" x14ac:dyDescent="0.2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</row>
    <row r="257" spans="3:57" x14ac:dyDescent="0.2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</row>
    <row r="258" spans="3:57" x14ac:dyDescent="0.2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</row>
    <row r="259" spans="3:57" x14ac:dyDescent="0.2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</row>
    <row r="260" spans="3:57" x14ac:dyDescent="0.2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</row>
    <row r="261" spans="3:57" x14ac:dyDescent="0.2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</row>
    <row r="262" spans="3:57" x14ac:dyDescent="0.2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</row>
    <row r="263" spans="3:57" x14ac:dyDescent="0.2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</row>
    <row r="264" spans="3:57" x14ac:dyDescent="0.2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</row>
    <row r="265" spans="3:57" x14ac:dyDescent="0.2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</row>
    <row r="266" spans="3:57" x14ac:dyDescent="0.2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</row>
    <row r="267" spans="3:57" x14ac:dyDescent="0.2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</row>
    <row r="268" spans="3:57" x14ac:dyDescent="0.2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</row>
    <row r="269" spans="3:57" x14ac:dyDescent="0.2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</row>
    <row r="270" spans="3:57" x14ac:dyDescent="0.2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</row>
    <row r="271" spans="3:57" x14ac:dyDescent="0.2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</row>
    <row r="272" spans="3:57" x14ac:dyDescent="0.2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</row>
    <row r="273" spans="3:57" x14ac:dyDescent="0.2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</row>
    <row r="274" spans="3:57" x14ac:dyDescent="0.2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</row>
    <row r="275" spans="3:57" x14ac:dyDescent="0.2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</row>
    <row r="276" spans="3:57" x14ac:dyDescent="0.2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</row>
    <row r="277" spans="3:57" x14ac:dyDescent="0.2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</row>
    <row r="278" spans="3:57" x14ac:dyDescent="0.2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</row>
    <row r="279" spans="3:57" x14ac:dyDescent="0.2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</row>
    <row r="280" spans="3:57" x14ac:dyDescent="0.2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</row>
    <row r="281" spans="3:57" x14ac:dyDescent="0.2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</row>
    <row r="282" spans="3:57" x14ac:dyDescent="0.2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</row>
    <row r="283" spans="3:57" x14ac:dyDescent="0.2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</row>
    <row r="284" spans="3:57" x14ac:dyDescent="0.2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</row>
    <row r="285" spans="3:57" x14ac:dyDescent="0.2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</row>
    <row r="286" spans="3:57" x14ac:dyDescent="0.2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</row>
    <row r="287" spans="3:57" x14ac:dyDescent="0.2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</row>
    <row r="288" spans="3:57" x14ac:dyDescent="0.2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</row>
    <row r="289" spans="3:57" x14ac:dyDescent="0.2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</row>
    <row r="290" spans="3:57" x14ac:dyDescent="0.2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</row>
    <row r="291" spans="3:57" x14ac:dyDescent="0.2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</row>
    <row r="292" spans="3:57" x14ac:dyDescent="0.2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</row>
    <row r="293" spans="3:57" x14ac:dyDescent="0.2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</row>
    <row r="294" spans="3:57" x14ac:dyDescent="0.2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</row>
    <row r="295" spans="3:57" x14ac:dyDescent="0.2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</row>
    <row r="296" spans="3:57" x14ac:dyDescent="0.2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</row>
    <row r="297" spans="3:57" x14ac:dyDescent="0.2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</row>
    <row r="298" spans="3:57" x14ac:dyDescent="0.2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</row>
    <row r="299" spans="3:57" x14ac:dyDescent="0.2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</row>
    <row r="300" spans="3:57" x14ac:dyDescent="0.2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</row>
    <row r="301" spans="3:57" x14ac:dyDescent="0.2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</row>
    <row r="302" spans="3:57" x14ac:dyDescent="0.2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</row>
    <row r="303" spans="3:57" x14ac:dyDescent="0.2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</row>
    <row r="304" spans="3:57" x14ac:dyDescent="0.2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</row>
    <row r="305" spans="3:57" x14ac:dyDescent="0.2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</row>
    <row r="306" spans="3:57" x14ac:dyDescent="0.2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</row>
    <row r="307" spans="3:57" x14ac:dyDescent="0.2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</row>
    <row r="308" spans="3:57" x14ac:dyDescent="0.2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</row>
    <row r="309" spans="3:57" x14ac:dyDescent="0.2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</row>
    <row r="310" spans="3:57" x14ac:dyDescent="0.2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</row>
    <row r="311" spans="3:57" x14ac:dyDescent="0.2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</row>
    <row r="312" spans="3:57" x14ac:dyDescent="0.2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</row>
    <row r="313" spans="3:57" x14ac:dyDescent="0.2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</row>
    <row r="314" spans="3:57" x14ac:dyDescent="0.2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</row>
    <row r="315" spans="3:57" x14ac:dyDescent="0.2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</row>
    <row r="316" spans="3:57" x14ac:dyDescent="0.2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</row>
    <row r="317" spans="3:57" x14ac:dyDescent="0.2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</row>
    <row r="318" spans="3:57" x14ac:dyDescent="0.2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</row>
    <row r="319" spans="3:57" x14ac:dyDescent="0.2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</row>
    <row r="320" spans="3:57" x14ac:dyDescent="0.2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</row>
    <row r="321" spans="3:57" x14ac:dyDescent="0.2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</row>
    <row r="322" spans="3:57" x14ac:dyDescent="0.2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</row>
    <row r="323" spans="3:57" x14ac:dyDescent="0.2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</row>
    <row r="324" spans="3:57" x14ac:dyDescent="0.2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</row>
    <row r="325" spans="3:57" x14ac:dyDescent="0.2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</row>
    <row r="326" spans="3:57" x14ac:dyDescent="0.2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</row>
    <row r="327" spans="3:57" x14ac:dyDescent="0.2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</row>
    <row r="328" spans="3:57" x14ac:dyDescent="0.2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</row>
    <row r="329" spans="3:57" x14ac:dyDescent="0.2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</row>
    <row r="330" spans="3:57" x14ac:dyDescent="0.2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</row>
    <row r="331" spans="3:57" x14ac:dyDescent="0.2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</row>
    <row r="332" spans="3:57" x14ac:dyDescent="0.2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</row>
    <row r="333" spans="3:57" x14ac:dyDescent="0.2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</row>
    <row r="334" spans="3:57" x14ac:dyDescent="0.2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</row>
    <row r="335" spans="3:57" x14ac:dyDescent="0.2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</row>
    <row r="336" spans="3:57" x14ac:dyDescent="0.2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</row>
    <row r="337" spans="3:57" x14ac:dyDescent="0.2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</row>
    <row r="338" spans="3:57" x14ac:dyDescent="0.2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</row>
    <row r="339" spans="3:57" x14ac:dyDescent="0.2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</row>
    <row r="340" spans="3:57" x14ac:dyDescent="0.2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</row>
    <row r="341" spans="3:57" x14ac:dyDescent="0.2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</row>
    <row r="342" spans="3:57" x14ac:dyDescent="0.2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</row>
    <row r="343" spans="3:57" x14ac:dyDescent="0.2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</row>
    <row r="344" spans="3:57" x14ac:dyDescent="0.2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</row>
    <row r="345" spans="3:57" x14ac:dyDescent="0.2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</row>
    <row r="346" spans="3:57" x14ac:dyDescent="0.2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</row>
    <row r="347" spans="3:57" x14ac:dyDescent="0.2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</row>
    <row r="348" spans="3:57" x14ac:dyDescent="0.2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</row>
    <row r="349" spans="3:57" x14ac:dyDescent="0.2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</row>
    <row r="350" spans="3:57" x14ac:dyDescent="0.2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</row>
    <row r="351" spans="3:57" x14ac:dyDescent="0.2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</row>
    <row r="352" spans="3:57" x14ac:dyDescent="0.2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</row>
    <row r="353" spans="3:57" x14ac:dyDescent="0.2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</row>
    <row r="354" spans="3:57" x14ac:dyDescent="0.2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</row>
    <row r="355" spans="3:57" x14ac:dyDescent="0.2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</row>
    <row r="356" spans="3:57" x14ac:dyDescent="0.2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</row>
    <row r="357" spans="3:57" x14ac:dyDescent="0.2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</row>
    <row r="358" spans="3:57" x14ac:dyDescent="0.2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</row>
    <row r="359" spans="3:57" x14ac:dyDescent="0.2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</row>
    <row r="360" spans="3:57" x14ac:dyDescent="0.2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</row>
  </sheetData>
  <mergeCells count="2">
    <mergeCell ref="C2:H2"/>
    <mergeCell ref="C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61"/>
  <sheetViews>
    <sheetView workbookViewId="0">
      <pane xSplit="1" topLeftCell="B1" activePane="topRight" state="frozen"/>
      <selection pane="topRight" activeCell="B3" sqref="B3"/>
    </sheetView>
  </sheetViews>
  <sheetFormatPr baseColWidth="10" defaultColWidth="9.140625" defaultRowHeight="15" x14ac:dyDescent="0.25"/>
  <cols>
    <col min="1" max="1" width="52.7109375" bestFit="1" customWidth="1"/>
    <col min="2" max="2" width="33.28515625" customWidth="1"/>
    <col min="3" max="3" width="18.140625" customWidth="1"/>
    <col min="4" max="4" width="15.7109375" bestFit="1" customWidth="1"/>
    <col min="5" max="5" width="16.42578125" customWidth="1"/>
    <col min="6" max="6" width="17.42578125" bestFit="1" customWidth="1"/>
    <col min="7" max="7" width="16.28515625" customWidth="1"/>
    <col min="8" max="8" width="17.42578125" bestFit="1" customWidth="1"/>
    <col min="9" max="9" width="17" customWidth="1"/>
    <col min="10" max="10" width="17.42578125" bestFit="1" customWidth="1"/>
    <col min="11" max="11" width="17.140625" customWidth="1"/>
    <col min="12" max="12" width="18.28515625" customWidth="1"/>
    <col min="13" max="13" width="18" customWidth="1"/>
    <col min="14" max="14" width="18.28515625" customWidth="1"/>
    <col min="15" max="15" width="32.85546875" customWidth="1"/>
  </cols>
  <sheetData>
    <row r="2" spans="1:57" x14ac:dyDescent="0.25">
      <c r="C2" s="38" t="s">
        <v>0</v>
      </c>
      <c r="D2" s="38"/>
      <c r="E2" s="38"/>
      <c r="F2" s="38"/>
      <c r="G2" s="38"/>
      <c r="H2" s="38"/>
    </row>
    <row r="3" spans="1:57" x14ac:dyDescent="0.25">
      <c r="C3" s="38" t="s">
        <v>1</v>
      </c>
      <c r="D3" s="38"/>
      <c r="E3" s="38"/>
      <c r="F3" s="38"/>
      <c r="G3" s="38"/>
      <c r="H3" s="38"/>
    </row>
    <row r="4" spans="1:57" x14ac:dyDescent="0.25">
      <c r="C4" s="1"/>
      <c r="D4" s="1"/>
      <c r="E4" s="1"/>
      <c r="F4" s="1"/>
      <c r="G4" s="1"/>
      <c r="H4" s="1"/>
    </row>
    <row r="6" spans="1:57" s="13" customFormat="1" x14ac:dyDescent="0.25">
      <c r="B6" s="13" t="s">
        <v>14</v>
      </c>
      <c r="C6" s="7">
        <v>42005</v>
      </c>
      <c r="D6" s="7">
        <v>42036</v>
      </c>
      <c r="E6" s="7">
        <v>42064</v>
      </c>
      <c r="F6" s="7">
        <v>42095</v>
      </c>
      <c r="G6" s="7">
        <v>42125</v>
      </c>
      <c r="H6" s="7">
        <v>42156</v>
      </c>
      <c r="I6" s="7">
        <v>42186</v>
      </c>
      <c r="J6" s="7">
        <v>42217</v>
      </c>
      <c r="K6" s="7">
        <v>42248</v>
      </c>
      <c r="L6" s="7">
        <v>42278</v>
      </c>
      <c r="M6" s="7">
        <v>42309</v>
      </c>
      <c r="N6" s="7">
        <v>42339</v>
      </c>
      <c r="O6" s="13" t="s">
        <v>15</v>
      </c>
    </row>
    <row r="7" spans="1:57" x14ac:dyDescent="0.25">
      <c r="A7" s="3" t="s">
        <v>8</v>
      </c>
      <c r="B7" s="3"/>
    </row>
    <row r="8" spans="1:57" x14ac:dyDescent="0.25">
      <c r="A8" s="4" t="s">
        <v>2</v>
      </c>
      <c r="B8" s="12">
        <v>77633064.819999993</v>
      </c>
      <c r="C8" s="8">
        <v>2368184.6100000143</v>
      </c>
      <c r="D8" s="8">
        <v>3160155.2099999934</v>
      </c>
      <c r="E8" s="8">
        <v>1410450.1299999952</v>
      </c>
      <c r="F8" s="8">
        <v>2169295.3299999982</v>
      </c>
      <c r="G8" s="8">
        <v>4778408.3700000048</v>
      </c>
      <c r="H8" s="8">
        <v>6957424.2100000083</v>
      </c>
      <c r="I8" s="8">
        <v>5482443.9199999869</v>
      </c>
      <c r="J8" s="8">
        <v>6459689.6000000089</v>
      </c>
      <c r="K8" s="8">
        <v>3977867.3900000006</v>
      </c>
      <c r="L8" s="2">
        <v>3962016.099999994</v>
      </c>
      <c r="M8" s="2">
        <v>4239301.7400000095</v>
      </c>
      <c r="N8" s="2">
        <v>1019247.6999999881</v>
      </c>
      <c r="O8" s="2">
        <v>123617549.13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4" t="s">
        <v>3</v>
      </c>
      <c r="B9" s="4"/>
      <c r="C9" s="8"/>
      <c r="D9" s="8">
        <v>639627.81999999995</v>
      </c>
      <c r="E9" s="8">
        <v>4257137.0199999996</v>
      </c>
      <c r="F9" s="8">
        <v>1669861.9500000007</v>
      </c>
      <c r="G9" s="8">
        <v>2837406.5900000003</v>
      </c>
      <c r="H9" s="8">
        <v>5234175.7999999989</v>
      </c>
      <c r="I9" s="8">
        <v>8443851.4799999986</v>
      </c>
      <c r="J9" s="8">
        <v>3394619.2400000026</v>
      </c>
      <c r="K9" s="8">
        <v>4709784.799999997</v>
      </c>
      <c r="L9" s="2">
        <v>2239261.7700000037</v>
      </c>
      <c r="M9" s="2">
        <v>1736761.2799999998</v>
      </c>
      <c r="N9" s="2">
        <v>37200.359999997891</v>
      </c>
      <c r="O9" s="2">
        <v>35199688.109999999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4" t="s">
        <v>12</v>
      </c>
      <c r="B10" s="14">
        <v>10115007.51</v>
      </c>
      <c r="C10" s="8">
        <v>1470430.0500000007</v>
      </c>
      <c r="D10" s="8">
        <v>0</v>
      </c>
      <c r="E10" s="8"/>
      <c r="F10" s="8">
        <v>115152</v>
      </c>
      <c r="G10" s="8"/>
      <c r="H10" s="8"/>
      <c r="I10" s="8"/>
      <c r="J10" s="8"/>
      <c r="K10" s="8"/>
      <c r="L10" s="2"/>
      <c r="M10" s="2"/>
      <c r="N10" s="2"/>
      <c r="O10" s="2">
        <v>11700589.560000001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C11" s="8"/>
      <c r="D11" s="8"/>
      <c r="E11" s="8"/>
      <c r="F11" s="8"/>
      <c r="G11" s="8"/>
      <c r="H11" s="8"/>
      <c r="I11" s="8"/>
      <c r="J11" s="8"/>
      <c r="K11" s="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s="10" customFormat="1" ht="15.75" thickBot="1" x14ac:dyDescent="0.3">
      <c r="A12" s="5" t="s">
        <v>9</v>
      </c>
      <c r="B12" s="9">
        <v>87748072.329999998</v>
      </c>
      <c r="C12" s="9">
        <v>3838614.6600000151</v>
      </c>
      <c r="D12" s="9">
        <v>3799783.0299999933</v>
      </c>
      <c r="E12" s="9">
        <v>5667587.1499999948</v>
      </c>
      <c r="F12" s="9">
        <v>3954309.2799999989</v>
      </c>
      <c r="G12" s="9">
        <v>7615814.9600000046</v>
      </c>
      <c r="H12" s="9">
        <v>12191600.010000007</v>
      </c>
      <c r="I12" s="9">
        <v>13926295.399999985</v>
      </c>
      <c r="J12" s="9">
        <v>9854308.840000011</v>
      </c>
      <c r="K12" s="9">
        <v>8687652.1899999976</v>
      </c>
      <c r="L12" s="9">
        <v>6201277.8699999973</v>
      </c>
      <c r="M12" s="9">
        <v>5976063.0200000089</v>
      </c>
      <c r="N12" s="9">
        <v>1056448.0599999861</v>
      </c>
      <c r="O12" s="9">
        <v>170517826.80000001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</row>
    <row r="13" spans="1:57" s="10" customFormat="1" ht="16.5" thickTop="1" thickBot="1" x14ac:dyDescent="0.3">
      <c r="A13" s="17" t="s">
        <v>18</v>
      </c>
      <c r="B13" s="20">
        <v>8.56</v>
      </c>
      <c r="C13" s="20">
        <v>8.6449999999999996</v>
      </c>
      <c r="D13" s="20">
        <v>8.73</v>
      </c>
      <c r="E13" s="20">
        <v>8.82</v>
      </c>
      <c r="F13" s="20">
        <v>8.91</v>
      </c>
      <c r="G13" s="20">
        <v>8.9949999999999992</v>
      </c>
      <c r="H13" s="20">
        <v>9.09</v>
      </c>
      <c r="I13" s="20">
        <v>9.1950000000000003</v>
      </c>
      <c r="J13" s="20">
        <v>9.3000000000000007</v>
      </c>
      <c r="K13" s="20">
        <v>9.4250000000000007</v>
      </c>
      <c r="L13" s="20">
        <v>9.5549999999999997</v>
      </c>
      <c r="M13" s="20">
        <v>9.6950000000000003</v>
      </c>
      <c r="N13" s="20">
        <v>13.3</v>
      </c>
      <c r="O13" s="20">
        <v>13.3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</row>
    <row r="14" spans="1:57" s="10" customFormat="1" ht="16.5" thickTop="1" thickBot="1" x14ac:dyDescent="0.3">
      <c r="A14" s="17" t="s">
        <v>19</v>
      </c>
      <c r="B14" s="21">
        <v>10250943.029205607</v>
      </c>
      <c r="C14" s="21">
        <v>444027.14401388261</v>
      </c>
      <c r="D14" s="21">
        <v>435255.78808705532</v>
      </c>
      <c r="E14" s="21">
        <v>642583.5770975051</v>
      </c>
      <c r="F14" s="21">
        <v>443805.75533108856</v>
      </c>
      <c r="G14" s="21">
        <v>846672.03557532025</v>
      </c>
      <c r="H14" s="21">
        <v>1341210.122112212</v>
      </c>
      <c r="I14" s="21">
        <v>1514550.8863512762</v>
      </c>
      <c r="J14" s="21">
        <v>1059603.10107527</v>
      </c>
      <c r="K14" s="21">
        <v>921766.81061007921</v>
      </c>
      <c r="L14" s="21">
        <v>649008.67294610129</v>
      </c>
      <c r="M14" s="21">
        <v>616406.7065497688</v>
      </c>
      <c r="N14" s="21">
        <v>79432.184962404965</v>
      </c>
      <c r="O14" s="21">
        <v>12820889.233082706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57" ht="15.75" thickTop="1" x14ac:dyDescent="0.25">
      <c r="C15" s="8"/>
      <c r="D15" s="8"/>
      <c r="E15" s="8"/>
      <c r="F15" s="8"/>
      <c r="G15" s="8"/>
      <c r="H15" s="8"/>
      <c r="I15" s="8"/>
      <c r="J15" s="8"/>
      <c r="K15" s="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C16" s="8"/>
      <c r="D16" s="8"/>
      <c r="E16" s="8"/>
      <c r="F16" s="8"/>
      <c r="G16" s="8"/>
      <c r="H16" s="8"/>
      <c r="I16" s="8"/>
      <c r="J16" s="8"/>
      <c r="K16" s="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" t="s">
        <v>10</v>
      </c>
      <c r="B17" s="3"/>
      <c r="C17" s="8"/>
      <c r="D17" s="8"/>
      <c r="E17" s="8"/>
      <c r="F17" s="8"/>
      <c r="G17" s="8"/>
      <c r="H17" s="8"/>
      <c r="I17" s="8"/>
      <c r="J17" s="8"/>
      <c r="K17" s="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4" t="s">
        <v>4</v>
      </c>
      <c r="B18" s="12">
        <v>5314734.18</v>
      </c>
      <c r="C18" s="8"/>
      <c r="D18" s="8"/>
      <c r="E18" s="8"/>
      <c r="F18" s="8">
        <v>693000</v>
      </c>
      <c r="G18" s="8"/>
      <c r="H18" s="8">
        <v>1680732.1099999994</v>
      </c>
      <c r="I18" s="8">
        <v>341032.86000000127</v>
      </c>
      <c r="J18" s="8">
        <v>322699.8599999994</v>
      </c>
      <c r="K18" s="8">
        <v>792426.59999999963</v>
      </c>
      <c r="L18" s="2">
        <v>0</v>
      </c>
      <c r="M18" s="2">
        <v>392426.12000000104</v>
      </c>
      <c r="N18" s="2">
        <v>802560.52999999933</v>
      </c>
      <c r="O18" s="2">
        <v>10339612.26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4" t="s">
        <v>30</v>
      </c>
      <c r="B19" s="12">
        <v>0</v>
      </c>
      <c r="C19" s="8">
        <v>65862127.57</v>
      </c>
      <c r="D19" s="8"/>
      <c r="E19" s="8"/>
      <c r="F19" s="8">
        <v>13752579.68</v>
      </c>
      <c r="G19" s="8"/>
      <c r="H19" s="8">
        <v>4430422.5599999949</v>
      </c>
      <c r="I19" s="8">
        <v>4530904.8300000057</v>
      </c>
      <c r="J19" s="8">
        <v>5688845.1699999794</v>
      </c>
      <c r="K19" s="8">
        <v>17284379.629999988</v>
      </c>
      <c r="L19" s="2">
        <v>4786897.409999989</v>
      </c>
      <c r="M19" s="2">
        <v>11470457.839999996</v>
      </c>
      <c r="N19" s="2">
        <v>4879847.8000000045</v>
      </c>
      <c r="O19" s="2">
        <v>132686462.49000001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4" t="s">
        <v>5</v>
      </c>
      <c r="B20" s="12">
        <v>8073779.2899999991</v>
      </c>
      <c r="C20" s="8">
        <v>2343834.1100000013</v>
      </c>
      <c r="D20" s="8">
        <v>65305.349999999627</v>
      </c>
      <c r="E20" s="8">
        <v>503529.3200000003</v>
      </c>
      <c r="F20" s="8">
        <v>257639.28000000119</v>
      </c>
      <c r="G20" s="8">
        <v>3061386.8299999982</v>
      </c>
      <c r="H20" s="8">
        <v>861843.03000000119</v>
      </c>
      <c r="I20" s="8">
        <v>435809.62000000104</v>
      </c>
      <c r="J20" s="8">
        <v>475573.69999999925</v>
      </c>
      <c r="K20" s="8">
        <v>582689.51999999955</v>
      </c>
      <c r="L20" s="2">
        <v>334683.22000000253</v>
      </c>
      <c r="M20" s="2">
        <v>435663.3200000003</v>
      </c>
      <c r="N20" s="2">
        <v>1170300.2899999954</v>
      </c>
      <c r="O20" s="2">
        <v>18602036.879999999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4" t="s">
        <v>7</v>
      </c>
      <c r="B21" s="12">
        <v>72152891.709999979</v>
      </c>
      <c r="C21" s="8">
        <v>-63525293.499999978</v>
      </c>
      <c r="D21" s="8"/>
      <c r="E21" s="8"/>
      <c r="F21" s="8">
        <v>-1917244.0000000009</v>
      </c>
      <c r="G21" s="8"/>
      <c r="H21" s="8"/>
      <c r="I21" s="8"/>
      <c r="J21" s="8"/>
      <c r="K21" s="8"/>
      <c r="L21" s="2"/>
      <c r="M21" s="2"/>
      <c r="N21" s="2"/>
      <c r="O21" s="2">
        <v>6710354.21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4" t="s">
        <v>13</v>
      </c>
      <c r="C22" s="8"/>
      <c r="D22" s="8"/>
      <c r="E22" s="8"/>
      <c r="F22" s="8"/>
      <c r="G22" s="8"/>
      <c r="H22" s="8"/>
      <c r="I22" s="8"/>
      <c r="J22" s="8"/>
      <c r="K22" s="8"/>
      <c r="L22" s="2"/>
      <c r="M22" s="2"/>
      <c r="N22" s="2"/>
      <c r="O22" s="2"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C23" s="8"/>
      <c r="D23" s="8"/>
      <c r="E23" s="8"/>
      <c r="F23" s="8"/>
      <c r="G23" s="8"/>
      <c r="H23" s="8"/>
      <c r="I23" s="8"/>
      <c r="J23" s="8"/>
      <c r="K23" s="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C24" s="8"/>
      <c r="D24" s="8"/>
      <c r="E24" s="8"/>
      <c r="F24" s="8"/>
      <c r="G24" s="8"/>
      <c r="H24" s="8"/>
      <c r="I24" s="8"/>
      <c r="J24" s="8"/>
      <c r="K24" s="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s="10" customFormat="1" ht="15.75" thickBot="1" x14ac:dyDescent="0.3">
      <c r="A25" s="5" t="s">
        <v>11</v>
      </c>
      <c r="B25" s="9">
        <v>85541405.179999977</v>
      </c>
      <c r="C25" s="9">
        <v>4680668.1800000295</v>
      </c>
      <c r="D25" s="9">
        <v>65305.349999999627</v>
      </c>
      <c r="E25" s="9">
        <v>503529.3200000003</v>
      </c>
      <c r="F25" s="9">
        <v>12785974.960000001</v>
      </c>
      <c r="G25" s="9">
        <v>3061386.8299999982</v>
      </c>
      <c r="H25" s="9">
        <v>6972997.6999999955</v>
      </c>
      <c r="I25" s="9">
        <v>5307747.310000008</v>
      </c>
      <c r="J25" s="9">
        <v>6487118.7299999781</v>
      </c>
      <c r="K25" s="9">
        <v>18659495.749999989</v>
      </c>
      <c r="L25" s="9">
        <v>5121580.6299999915</v>
      </c>
      <c r="M25" s="9">
        <v>12298547.279999997</v>
      </c>
      <c r="N25" s="9">
        <v>6852708.6199999992</v>
      </c>
      <c r="O25" s="9">
        <v>168338465.84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</row>
    <row r="26" spans="1:57" s="10" customFormat="1" ht="16.5" thickTop="1" thickBot="1" x14ac:dyDescent="0.3">
      <c r="A26" s="17" t="s">
        <v>18</v>
      </c>
      <c r="B26" s="20">
        <v>8.56</v>
      </c>
      <c r="C26" s="20">
        <v>8.6449999999999996</v>
      </c>
      <c r="D26" s="20">
        <v>8.73</v>
      </c>
      <c r="E26" s="20">
        <v>8.82</v>
      </c>
      <c r="F26" s="20">
        <v>8.91</v>
      </c>
      <c r="G26" s="20">
        <v>8.9949999999999992</v>
      </c>
      <c r="H26" s="20">
        <v>9.09</v>
      </c>
      <c r="I26" s="20">
        <v>9.1950000000000003</v>
      </c>
      <c r="J26" s="20">
        <v>9.3000000000000007</v>
      </c>
      <c r="K26" s="20">
        <v>9.4250000000000007</v>
      </c>
      <c r="L26" s="20">
        <v>9.5549999999999997</v>
      </c>
      <c r="M26" s="20">
        <v>9.6950000000000003</v>
      </c>
      <c r="N26" s="20">
        <v>13.3</v>
      </c>
      <c r="O26" s="20">
        <v>13.3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</row>
    <row r="27" spans="1:57" s="10" customFormat="1" ht="16.5" thickTop="1" thickBot="1" x14ac:dyDescent="0.3">
      <c r="A27" s="17" t="s">
        <v>20</v>
      </c>
      <c r="B27" s="21">
        <v>9993154.8107476607</v>
      </c>
      <c r="C27" s="21">
        <v>541430.67437825678</v>
      </c>
      <c r="D27" s="21">
        <v>7480.5670103092352</v>
      </c>
      <c r="E27" s="21">
        <v>57089.492063492093</v>
      </c>
      <c r="F27" s="21">
        <v>1435014.0246913582</v>
      </c>
      <c r="G27" s="21">
        <v>340343.17176208989</v>
      </c>
      <c r="H27" s="21">
        <v>767106.45764576411</v>
      </c>
      <c r="I27" s="21">
        <v>577242.77433387795</v>
      </c>
      <c r="J27" s="21">
        <v>697539.64838709438</v>
      </c>
      <c r="K27" s="21">
        <v>1979787.3474801048</v>
      </c>
      <c r="L27" s="21">
        <v>536010.5316588165</v>
      </c>
      <c r="M27" s="21">
        <v>1268545.3615265598</v>
      </c>
      <c r="N27" s="21">
        <v>515241.24962406006</v>
      </c>
      <c r="O27" s="21">
        <v>12657027.506766917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</row>
    <row r="28" spans="1:57" s="10" customFormat="1" ht="15.75" thickTop="1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</row>
    <row r="29" spans="1:57" x14ac:dyDescent="0.25">
      <c r="C29" s="8"/>
      <c r="D29" s="8"/>
      <c r="E29" s="8"/>
      <c r="F29" s="8"/>
      <c r="G29" s="8"/>
      <c r="H29" s="8"/>
      <c r="I29" s="8"/>
      <c r="J29" s="8"/>
      <c r="K29" s="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s="10" customFormat="1" ht="15.75" thickBot="1" x14ac:dyDescent="0.3">
      <c r="A30" s="5" t="s">
        <v>6</v>
      </c>
      <c r="B30" s="9">
        <v>2206667.1500000209</v>
      </c>
      <c r="C30" s="9">
        <v>-842053.52000001445</v>
      </c>
      <c r="D30" s="9">
        <v>3734477.6799999936</v>
      </c>
      <c r="E30" s="9">
        <v>5164057.8299999945</v>
      </c>
      <c r="F30" s="9">
        <v>-8831665.6800000016</v>
      </c>
      <c r="G30" s="9">
        <v>4554428.1300000064</v>
      </c>
      <c r="H30" s="9">
        <v>5218602.3100000117</v>
      </c>
      <c r="I30" s="9">
        <v>8618548.0899999775</v>
      </c>
      <c r="J30" s="9">
        <v>3367190.1100000329</v>
      </c>
      <c r="K30" s="9">
        <v>-9971843.5599999912</v>
      </c>
      <c r="L30" s="9">
        <v>1079697.2400000058</v>
      </c>
      <c r="M30" s="9">
        <v>-6322484.2599999886</v>
      </c>
      <c r="N30" s="9">
        <v>-5796260.5600000136</v>
      </c>
      <c r="O30" s="9">
        <v>2179360.9600000083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</row>
    <row r="31" spans="1:57" ht="16.5" thickTop="1" thickBot="1" x14ac:dyDescent="0.3">
      <c r="A31" s="18" t="s">
        <v>21</v>
      </c>
      <c r="B31" s="22">
        <v>257788.21845794655</v>
      </c>
      <c r="C31" s="22">
        <v>-97403.530364374164</v>
      </c>
      <c r="D31" s="22">
        <v>427775.22107674606</v>
      </c>
      <c r="E31" s="22">
        <v>585494.08503401303</v>
      </c>
      <c r="F31" s="22">
        <v>-991208.26936026965</v>
      </c>
      <c r="G31" s="22">
        <v>506328.86381323036</v>
      </c>
      <c r="H31" s="22">
        <v>574103.6644664479</v>
      </c>
      <c r="I31" s="22">
        <v>937308.11201739823</v>
      </c>
      <c r="J31" s="22">
        <v>362063.4526881756</v>
      </c>
      <c r="K31" s="22">
        <v>-1058020.5368700256</v>
      </c>
      <c r="L31" s="22">
        <v>112998.14128728479</v>
      </c>
      <c r="M31" s="22">
        <v>-652138.654976791</v>
      </c>
      <c r="N31" s="22">
        <v>-435809.06466165511</v>
      </c>
      <c r="O31" s="22">
        <v>163861.72631578892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15.75" thickTop="1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19" t="s">
        <v>22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3:57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3:57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3:57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3:57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3:57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3:57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3:57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3:57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3:57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3:57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3:57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3:57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3:57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3:57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3:57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3:57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3:57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3:57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3:57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3:57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3:57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3:57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3:57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3:57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3:57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3:57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3:57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3:57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3:57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3:57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3:57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3:57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3:57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3:57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3:57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3:57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3:57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3:57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3:57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3:57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3:57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spans="3:57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spans="3:57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spans="3:57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spans="3:57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  <row r="94" spans="3:57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</row>
    <row r="95" spans="3:57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</row>
    <row r="96" spans="3:57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</row>
    <row r="97" spans="3:57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  <row r="98" spans="3:57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</row>
    <row r="99" spans="3:57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</row>
    <row r="100" spans="3:57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</row>
    <row r="101" spans="3:57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</row>
    <row r="102" spans="3:57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</row>
    <row r="103" spans="3:57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</row>
    <row r="104" spans="3:57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3:57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3:57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</row>
    <row r="107" spans="3:57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spans="3:57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</row>
    <row r="109" spans="3:57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</row>
    <row r="110" spans="3:57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</row>
    <row r="111" spans="3:57" x14ac:dyDescent="0.2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</row>
    <row r="112" spans="3:57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</row>
    <row r="113" spans="3:57" x14ac:dyDescent="0.2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4" spans="3:57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</row>
    <row r="115" spans="3:57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</row>
    <row r="116" spans="3:57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</row>
    <row r="117" spans="3:57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</row>
    <row r="118" spans="3:57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</row>
    <row r="119" spans="3:57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</row>
    <row r="120" spans="3:57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</row>
    <row r="121" spans="3:57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</row>
    <row r="122" spans="3:57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</row>
    <row r="123" spans="3:57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</row>
    <row r="124" spans="3:57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</row>
    <row r="125" spans="3:57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</row>
    <row r="126" spans="3:57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</row>
    <row r="127" spans="3:57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</row>
    <row r="128" spans="3:57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</row>
    <row r="129" spans="3:57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</row>
    <row r="130" spans="3:57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</row>
    <row r="131" spans="3:57" x14ac:dyDescent="0.2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</row>
    <row r="132" spans="3:57" x14ac:dyDescent="0.2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</row>
    <row r="133" spans="3:57" x14ac:dyDescent="0.2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</row>
    <row r="134" spans="3:57" x14ac:dyDescent="0.2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</row>
    <row r="135" spans="3:57" x14ac:dyDescent="0.2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</row>
    <row r="136" spans="3:57" x14ac:dyDescent="0.2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</row>
    <row r="137" spans="3:57" x14ac:dyDescent="0.2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</row>
    <row r="138" spans="3:57" x14ac:dyDescent="0.2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</row>
    <row r="139" spans="3:57" x14ac:dyDescent="0.2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</row>
    <row r="140" spans="3:57" x14ac:dyDescent="0.2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</row>
    <row r="141" spans="3:57" x14ac:dyDescent="0.2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</row>
    <row r="142" spans="3:57" x14ac:dyDescent="0.2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</row>
    <row r="143" spans="3:57" x14ac:dyDescent="0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</row>
    <row r="144" spans="3:57" x14ac:dyDescent="0.2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</row>
    <row r="145" spans="3:57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</row>
    <row r="146" spans="3:57" x14ac:dyDescent="0.2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</row>
    <row r="147" spans="3:57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</row>
    <row r="148" spans="3:57" x14ac:dyDescent="0.2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</row>
    <row r="149" spans="3:57" x14ac:dyDescent="0.2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</row>
    <row r="150" spans="3:57" x14ac:dyDescent="0.2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</row>
    <row r="151" spans="3:57" x14ac:dyDescent="0.2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</row>
    <row r="152" spans="3:57" x14ac:dyDescent="0.2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</row>
    <row r="153" spans="3:57" x14ac:dyDescent="0.2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</row>
    <row r="154" spans="3:57" x14ac:dyDescent="0.2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</row>
    <row r="155" spans="3:57" x14ac:dyDescent="0.2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</row>
    <row r="156" spans="3:57" x14ac:dyDescent="0.2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</row>
    <row r="157" spans="3:57" x14ac:dyDescent="0.2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</row>
    <row r="158" spans="3:57" x14ac:dyDescent="0.2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</row>
    <row r="159" spans="3:57" x14ac:dyDescent="0.2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</row>
    <row r="160" spans="3:57" x14ac:dyDescent="0.2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</row>
    <row r="161" spans="3:57" x14ac:dyDescent="0.2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</row>
    <row r="162" spans="3:57" x14ac:dyDescent="0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</row>
    <row r="163" spans="3:57" x14ac:dyDescent="0.2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</row>
    <row r="164" spans="3:57" x14ac:dyDescent="0.2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</row>
    <row r="165" spans="3:57" x14ac:dyDescent="0.2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</row>
    <row r="166" spans="3:57" x14ac:dyDescent="0.2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</row>
    <row r="167" spans="3:57" x14ac:dyDescent="0.2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</row>
    <row r="168" spans="3:57" x14ac:dyDescent="0.2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</row>
    <row r="169" spans="3:57" x14ac:dyDescent="0.2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</row>
    <row r="170" spans="3:57" x14ac:dyDescent="0.2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</row>
    <row r="171" spans="3:57" x14ac:dyDescent="0.2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</row>
    <row r="172" spans="3:57" x14ac:dyDescent="0.2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</row>
    <row r="173" spans="3:57" x14ac:dyDescent="0.2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</row>
    <row r="174" spans="3:57" x14ac:dyDescent="0.2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</row>
    <row r="175" spans="3:57" x14ac:dyDescent="0.2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</row>
    <row r="176" spans="3:57" x14ac:dyDescent="0.2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</row>
    <row r="177" spans="3:57" x14ac:dyDescent="0.2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</row>
    <row r="178" spans="3:57" x14ac:dyDescent="0.2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</row>
    <row r="179" spans="3:57" x14ac:dyDescent="0.2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</row>
    <row r="180" spans="3:57" x14ac:dyDescent="0.2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</row>
    <row r="181" spans="3:57" x14ac:dyDescent="0.2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</row>
    <row r="182" spans="3:57" x14ac:dyDescent="0.2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</row>
    <row r="183" spans="3:57" x14ac:dyDescent="0.2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</row>
    <row r="184" spans="3:57" x14ac:dyDescent="0.2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</row>
    <row r="185" spans="3:57" x14ac:dyDescent="0.2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</row>
    <row r="186" spans="3:57" x14ac:dyDescent="0.2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</row>
    <row r="187" spans="3:57" x14ac:dyDescent="0.2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</row>
    <row r="188" spans="3:57" x14ac:dyDescent="0.2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</row>
    <row r="189" spans="3:57" x14ac:dyDescent="0.2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</row>
    <row r="190" spans="3:57" x14ac:dyDescent="0.2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</row>
    <row r="191" spans="3:57" x14ac:dyDescent="0.2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</row>
    <row r="192" spans="3:57" x14ac:dyDescent="0.2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</row>
    <row r="193" spans="3:57" x14ac:dyDescent="0.2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</row>
    <row r="194" spans="3:57" x14ac:dyDescent="0.2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</row>
    <row r="195" spans="3:57" x14ac:dyDescent="0.2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</row>
    <row r="196" spans="3:57" x14ac:dyDescent="0.2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</row>
    <row r="197" spans="3:57" x14ac:dyDescent="0.2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</row>
    <row r="198" spans="3:57" x14ac:dyDescent="0.2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</row>
    <row r="199" spans="3:57" x14ac:dyDescent="0.2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</row>
    <row r="200" spans="3:57" x14ac:dyDescent="0.2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</row>
    <row r="201" spans="3:57" x14ac:dyDescent="0.2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</row>
    <row r="202" spans="3:57" x14ac:dyDescent="0.2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</row>
    <row r="203" spans="3:57" x14ac:dyDescent="0.2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</row>
    <row r="204" spans="3:57" x14ac:dyDescent="0.2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</row>
    <row r="205" spans="3:57" x14ac:dyDescent="0.2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</row>
    <row r="206" spans="3:57" x14ac:dyDescent="0.2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</row>
    <row r="207" spans="3:57" x14ac:dyDescent="0.2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</row>
    <row r="208" spans="3:57" x14ac:dyDescent="0.2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</row>
    <row r="209" spans="3:57" x14ac:dyDescent="0.2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</row>
    <row r="210" spans="3:57" x14ac:dyDescent="0.2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</row>
    <row r="211" spans="3:57" x14ac:dyDescent="0.2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</row>
    <row r="212" spans="3:57" x14ac:dyDescent="0.2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</row>
    <row r="213" spans="3:57" x14ac:dyDescent="0.2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</row>
    <row r="214" spans="3:57" x14ac:dyDescent="0.2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</row>
    <row r="215" spans="3:57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</row>
    <row r="216" spans="3:57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</row>
    <row r="217" spans="3:57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</row>
    <row r="218" spans="3:57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</row>
    <row r="219" spans="3:57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</row>
    <row r="220" spans="3:57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</row>
    <row r="221" spans="3:57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</row>
    <row r="222" spans="3:57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</row>
    <row r="223" spans="3:57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</row>
    <row r="224" spans="3:57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</row>
    <row r="225" spans="3:57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</row>
    <row r="226" spans="3:57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</row>
    <row r="227" spans="3:57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</row>
    <row r="228" spans="3:57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</row>
    <row r="229" spans="3:57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</row>
    <row r="230" spans="3:57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</row>
    <row r="231" spans="3:57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</row>
    <row r="232" spans="3:57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</row>
    <row r="233" spans="3:57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</row>
    <row r="234" spans="3:57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</row>
    <row r="235" spans="3:57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</row>
    <row r="236" spans="3:57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</row>
    <row r="237" spans="3:57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</row>
    <row r="238" spans="3:57" x14ac:dyDescent="0.2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</row>
    <row r="239" spans="3:57" x14ac:dyDescent="0.2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</row>
    <row r="240" spans="3:57" x14ac:dyDescent="0.2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</row>
    <row r="241" spans="3:57" x14ac:dyDescent="0.2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</row>
    <row r="242" spans="3:57" x14ac:dyDescent="0.2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</row>
    <row r="243" spans="3:57" x14ac:dyDescent="0.2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</row>
    <row r="244" spans="3:57" x14ac:dyDescent="0.2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</row>
    <row r="245" spans="3:57" x14ac:dyDescent="0.2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</row>
    <row r="246" spans="3:57" x14ac:dyDescent="0.2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</row>
    <row r="247" spans="3:57" x14ac:dyDescent="0.2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</row>
    <row r="248" spans="3:57" x14ac:dyDescent="0.2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</row>
    <row r="249" spans="3:57" x14ac:dyDescent="0.2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</row>
    <row r="250" spans="3:57" x14ac:dyDescent="0.2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</row>
    <row r="251" spans="3:57" x14ac:dyDescent="0.2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</row>
    <row r="252" spans="3:57" x14ac:dyDescent="0.2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</row>
    <row r="253" spans="3:57" x14ac:dyDescent="0.2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</row>
    <row r="254" spans="3:57" x14ac:dyDescent="0.2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</row>
    <row r="255" spans="3:57" x14ac:dyDescent="0.2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</row>
    <row r="256" spans="3:57" x14ac:dyDescent="0.2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</row>
    <row r="257" spans="3:57" x14ac:dyDescent="0.2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</row>
    <row r="258" spans="3:57" x14ac:dyDescent="0.2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</row>
    <row r="259" spans="3:57" x14ac:dyDescent="0.2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</row>
    <row r="260" spans="3:57" x14ac:dyDescent="0.2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</row>
    <row r="261" spans="3:57" x14ac:dyDescent="0.2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</row>
    <row r="262" spans="3:57" x14ac:dyDescent="0.2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</row>
    <row r="263" spans="3:57" x14ac:dyDescent="0.2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</row>
    <row r="264" spans="3:57" x14ac:dyDescent="0.2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</row>
    <row r="265" spans="3:57" x14ac:dyDescent="0.2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</row>
    <row r="266" spans="3:57" x14ac:dyDescent="0.2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</row>
    <row r="267" spans="3:57" x14ac:dyDescent="0.2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</row>
    <row r="268" spans="3:57" x14ac:dyDescent="0.2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</row>
    <row r="269" spans="3:57" x14ac:dyDescent="0.2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</row>
    <row r="270" spans="3:57" x14ac:dyDescent="0.2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</row>
    <row r="271" spans="3:57" x14ac:dyDescent="0.2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</row>
    <row r="272" spans="3:57" x14ac:dyDescent="0.2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</row>
    <row r="273" spans="3:57" x14ac:dyDescent="0.2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</row>
    <row r="274" spans="3:57" x14ac:dyDescent="0.2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</row>
    <row r="275" spans="3:57" x14ac:dyDescent="0.2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</row>
    <row r="276" spans="3:57" x14ac:dyDescent="0.2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</row>
    <row r="277" spans="3:57" x14ac:dyDescent="0.2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</row>
    <row r="278" spans="3:57" x14ac:dyDescent="0.2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</row>
    <row r="279" spans="3:57" x14ac:dyDescent="0.2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</row>
    <row r="280" spans="3:57" x14ac:dyDescent="0.2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</row>
    <row r="281" spans="3:57" x14ac:dyDescent="0.2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</row>
    <row r="282" spans="3:57" x14ac:dyDescent="0.2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</row>
    <row r="283" spans="3:57" x14ac:dyDescent="0.2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</row>
    <row r="284" spans="3:57" x14ac:dyDescent="0.2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</row>
    <row r="285" spans="3:57" x14ac:dyDescent="0.2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</row>
    <row r="286" spans="3:57" x14ac:dyDescent="0.2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</row>
    <row r="287" spans="3:57" x14ac:dyDescent="0.2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</row>
    <row r="288" spans="3:57" x14ac:dyDescent="0.2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</row>
    <row r="289" spans="3:57" x14ac:dyDescent="0.2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</row>
    <row r="290" spans="3:57" x14ac:dyDescent="0.2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</row>
    <row r="291" spans="3:57" x14ac:dyDescent="0.2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</row>
    <row r="292" spans="3:57" x14ac:dyDescent="0.2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</row>
    <row r="293" spans="3:57" x14ac:dyDescent="0.2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</row>
    <row r="294" spans="3:57" x14ac:dyDescent="0.2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</row>
    <row r="295" spans="3:57" x14ac:dyDescent="0.2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</row>
    <row r="296" spans="3:57" x14ac:dyDescent="0.2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</row>
    <row r="297" spans="3:57" x14ac:dyDescent="0.2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</row>
    <row r="298" spans="3:57" x14ac:dyDescent="0.2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</row>
    <row r="299" spans="3:57" x14ac:dyDescent="0.2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</row>
    <row r="300" spans="3:57" x14ac:dyDescent="0.2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</row>
    <row r="301" spans="3:57" x14ac:dyDescent="0.2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</row>
    <row r="302" spans="3:57" x14ac:dyDescent="0.2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</row>
    <row r="303" spans="3:57" x14ac:dyDescent="0.2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</row>
    <row r="304" spans="3:57" x14ac:dyDescent="0.2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</row>
    <row r="305" spans="3:57" x14ac:dyDescent="0.2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</row>
    <row r="306" spans="3:57" x14ac:dyDescent="0.2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</row>
    <row r="307" spans="3:57" x14ac:dyDescent="0.2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</row>
    <row r="308" spans="3:57" x14ac:dyDescent="0.2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</row>
    <row r="309" spans="3:57" x14ac:dyDescent="0.2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</row>
    <row r="310" spans="3:57" x14ac:dyDescent="0.2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</row>
    <row r="311" spans="3:57" x14ac:dyDescent="0.2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</row>
    <row r="312" spans="3:57" x14ac:dyDescent="0.2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</row>
    <row r="313" spans="3:57" x14ac:dyDescent="0.2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</row>
    <row r="314" spans="3:57" x14ac:dyDescent="0.2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</row>
    <row r="315" spans="3:57" x14ac:dyDescent="0.2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</row>
    <row r="316" spans="3:57" x14ac:dyDescent="0.2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</row>
    <row r="317" spans="3:57" x14ac:dyDescent="0.2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</row>
    <row r="318" spans="3:57" x14ac:dyDescent="0.2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</row>
    <row r="319" spans="3:57" x14ac:dyDescent="0.2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</row>
    <row r="320" spans="3:57" x14ac:dyDescent="0.2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</row>
    <row r="321" spans="3:57" x14ac:dyDescent="0.2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</row>
    <row r="322" spans="3:57" x14ac:dyDescent="0.2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</row>
    <row r="323" spans="3:57" x14ac:dyDescent="0.2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</row>
    <row r="324" spans="3:57" x14ac:dyDescent="0.2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</row>
    <row r="325" spans="3:57" x14ac:dyDescent="0.2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</row>
    <row r="326" spans="3:57" x14ac:dyDescent="0.2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</row>
    <row r="327" spans="3:57" x14ac:dyDescent="0.2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</row>
    <row r="328" spans="3:57" x14ac:dyDescent="0.2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</row>
    <row r="329" spans="3:57" x14ac:dyDescent="0.2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</row>
    <row r="330" spans="3:57" x14ac:dyDescent="0.2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</row>
    <row r="331" spans="3:57" x14ac:dyDescent="0.2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</row>
    <row r="332" spans="3:57" x14ac:dyDescent="0.2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</row>
    <row r="333" spans="3:57" x14ac:dyDescent="0.2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</row>
    <row r="334" spans="3:57" x14ac:dyDescent="0.2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</row>
    <row r="335" spans="3:57" x14ac:dyDescent="0.2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</row>
    <row r="336" spans="3:57" x14ac:dyDescent="0.2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</row>
    <row r="337" spans="3:57" x14ac:dyDescent="0.2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</row>
    <row r="338" spans="3:57" x14ac:dyDescent="0.2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</row>
    <row r="339" spans="3:57" x14ac:dyDescent="0.2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</row>
    <row r="340" spans="3:57" x14ac:dyDescent="0.2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</row>
    <row r="341" spans="3:57" x14ac:dyDescent="0.2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</row>
    <row r="342" spans="3:57" x14ac:dyDescent="0.2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</row>
    <row r="343" spans="3:57" x14ac:dyDescent="0.2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</row>
    <row r="344" spans="3:57" x14ac:dyDescent="0.2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</row>
    <row r="345" spans="3:57" x14ac:dyDescent="0.2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</row>
    <row r="346" spans="3:57" x14ac:dyDescent="0.2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</row>
    <row r="347" spans="3:57" x14ac:dyDescent="0.2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</row>
    <row r="348" spans="3:57" x14ac:dyDescent="0.2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</row>
    <row r="349" spans="3:57" x14ac:dyDescent="0.2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</row>
    <row r="350" spans="3:57" x14ac:dyDescent="0.2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</row>
    <row r="351" spans="3:57" x14ac:dyDescent="0.2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</row>
    <row r="352" spans="3:57" x14ac:dyDescent="0.2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</row>
    <row r="353" spans="3:57" x14ac:dyDescent="0.2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</row>
    <row r="354" spans="3:57" x14ac:dyDescent="0.2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</row>
    <row r="355" spans="3:57" x14ac:dyDescent="0.2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</row>
    <row r="356" spans="3:57" x14ac:dyDescent="0.2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</row>
    <row r="357" spans="3:57" x14ac:dyDescent="0.2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</row>
    <row r="358" spans="3:57" x14ac:dyDescent="0.2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</row>
    <row r="359" spans="3:57" x14ac:dyDescent="0.2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</row>
    <row r="360" spans="3:57" x14ac:dyDescent="0.2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</row>
    <row r="361" spans="3:57" x14ac:dyDescent="0.2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</row>
  </sheetData>
  <mergeCells count="2">
    <mergeCell ref="C2:H2"/>
    <mergeCell ref="C3:H3"/>
  </mergeCells>
  <pageMargins left="0.70866141732283472" right="0.70866141732283472" top="0.74803149606299213" bottom="0.74803149606299213" header="0.31496062992125984" footer="0.31496062992125984"/>
  <pageSetup paperSize="9" scale="60" fitToWidth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62"/>
  <sheetViews>
    <sheetView workbookViewId="0">
      <pane xSplit="1" topLeftCell="B1" activePane="topRight" state="frozen"/>
      <selection pane="topRight" activeCell="B3" sqref="B3"/>
    </sheetView>
  </sheetViews>
  <sheetFormatPr baseColWidth="10" defaultColWidth="9.140625" defaultRowHeight="15" x14ac:dyDescent="0.25"/>
  <cols>
    <col min="1" max="1" width="52.7109375" bestFit="1" customWidth="1"/>
    <col min="2" max="2" width="33.28515625" customWidth="1"/>
    <col min="3" max="3" width="18.140625" customWidth="1"/>
    <col min="4" max="8" width="17.42578125" bestFit="1" customWidth="1"/>
    <col min="9" max="9" width="17" customWidth="1"/>
    <col min="10" max="10" width="17.42578125" bestFit="1" customWidth="1"/>
    <col min="11" max="11" width="17.140625" customWidth="1"/>
    <col min="12" max="12" width="18.28515625" customWidth="1"/>
    <col min="13" max="13" width="18" customWidth="1"/>
    <col min="14" max="14" width="18.28515625" customWidth="1"/>
    <col min="15" max="15" width="32.85546875" customWidth="1"/>
  </cols>
  <sheetData>
    <row r="2" spans="1:57" x14ac:dyDescent="0.25">
      <c r="C2" s="38" t="s">
        <v>0</v>
      </c>
      <c r="D2" s="38"/>
      <c r="E2" s="38"/>
      <c r="F2" s="38"/>
      <c r="G2" s="38"/>
      <c r="H2" s="38"/>
    </row>
    <row r="3" spans="1:57" x14ac:dyDescent="0.25">
      <c r="C3" s="38" t="s">
        <v>1</v>
      </c>
      <c r="D3" s="38"/>
      <c r="E3" s="38"/>
      <c r="F3" s="38"/>
      <c r="G3" s="38"/>
      <c r="H3" s="38"/>
    </row>
    <row r="4" spans="1:57" x14ac:dyDescent="0.25">
      <c r="C4" s="1"/>
      <c r="D4" s="1"/>
      <c r="E4" s="1"/>
      <c r="F4" s="1"/>
      <c r="G4" s="1"/>
      <c r="H4" s="1"/>
    </row>
    <row r="6" spans="1:57" s="13" customFormat="1" x14ac:dyDescent="0.25">
      <c r="B6" s="13" t="s">
        <v>15</v>
      </c>
      <c r="C6" s="7">
        <v>42370</v>
      </c>
      <c r="D6" s="7">
        <v>42401</v>
      </c>
      <c r="E6" s="7">
        <v>42430</v>
      </c>
      <c r="F6" s="7">
        <v>42461</v>
      </c>
      <c r="G6" s="7">
        <v>42491</v>
      </c>
      <c r="H6" s="7">
        <v>42522</v>
      </c>
      <c r="I6" s="7">
        <v>42552</v>
      </c>
      <c r="J6" s="7">
        <v>42583</v>
      </c>
      <c r="K6" s="7">
        <v>42614</v>
      </c>
      <c r="L6" s="7">
        <v>42644</v>
      </c>
      <c r="M6" s="7">
        <v>42675</v>
      </c>
      <c r="N6" s="7">
        <v>42705</v>
      </c>
      <c r="O6" s="13" t="s">
        <v>16</v>
      </c>
    </row>
    <row r="7" spans="1:57" x14ac:dyDescent="0.25">
      <c r="A7" s="3" t="s">
        <v>8</v>
      </c>
      <c r="B7" s="3"/>
    </row>
    <row r="8" spans="1:57" x14ac:dyDescent="0.25">
      <c r="A8" s="4" t="s">
        <v>2</v>
      </c>
      <c r="B8" s="12">
        <v>123617549.13</v>
      </c>
      <c r="C8" s="8">
        <v>5435809.7199999988</v>
      </c>
      <c r="D8" s="8">
        <v>6231444.4600000083</v>
      </c>
      <c r="E8" s="8">
        <v>11590787.329999983</v>
      </c>
      <c r="F8" s="8">
        <v>14352086.26</v>
      </c>
      <c r="G8" s="8">
        <v>6876465.0499999998</v>
      </c>
      <c r="H8" s="8">
        <v>7783108.5099999998</v>
      </c>
      <c r="I8" s="8">
        <v>6890695.2000000002</v>
      </c>
      <c r="J8" s="8">
        <v>10320541.939999999</v>
      </c>
      <c r="K8" s="8">
        <v>11740194.439999999</v>
      </c>
      <c r="L8" s="2">
        <v>5078282.33</v>
      </c>
      <c r="M8" s="2">
        <v>13414124.439999999</v>
      </c>
      <c r="N8" s="2">
        <v>8420322.4499999993</v>
      </c>
      <c r="O8" s="2">
        <v>231751411.25999996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4" t="s">
        <v>3</v>
      </c>
      <c r="B9" s="15">
        <v>35199688.109999999</v>
      </c>
      <c r="C9" s="8">
        <v>6366974.75</v>
      </c>
      <c r="D9" s="8">
        <v>8133408.6600000039</v>
      </c>
      <c r="E9" s="8">
        <v>7238835.3299999982</v>
      </c>
      <c r="F9" s="8">
        <v>10258997.08</v>
      </c>
      <c r="G9" s="8">
        <v>7381879.7600000007</v>
      </c>
      <c r="H9" s="8">
        <v>8674665.2699999996</v>
      </c>
      <c r="I9" s="8">
        <v>9260017.8000000007</v>
      </c>
      <c r="J9" s="8">
        <v>10387437.1</v>
      </c>
      <c r="K9" s="8">
        <v>8981131.5299999993</v>
      </c>
      <c r="L9" s="2">
        <v>7019696.0800000001</v>
      </c>
      <c r="M9" s="2">
        <v>5782510.8099999996</v>
      </c>
      <c r="N9" s="2">
        <v>6860251.0499999998</v>
      </c>
      <c r="O9" s="2">
        <v>131545493.33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4" t="s">
        <v>12</v>
      </c>
      <c r="B10" s="14">
        <v>11700589.560000001</v>
      </c>
      <c r="C10" s="8">
        <v>621040.40000000037</v>
      </c>
      <c r="D10" s="8">
        <v>0</v>
      </c>
      <c r="E10" s="8">
        <v>0</v>
      </c>
      <c r="F10" s="8">
        <v>0</v>
      </c>
      <c r="G10" s="8"/>
      <c r="H10" s="8"/>
      <c r="I10" s="8"/>
      <c r="J10" s="8"/>
      <c r="K10" s="8"/>
      <c r="L10" s="2"/>
      <c r="M10" s="2"/>
      <c r="N10" s="2"/>
      <c r="O10" s="2">
        <v>12321629.960000001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C11" s="8"/>
      <c r="D11" s="8"/>
      <c r="E11" s="8"/>
      <c r="F11" s="8"/>
      <c r="G11" s="8"/>
      <c r="H11" s="8"/>
      <c r="I11" s="8"/>
      <c r="J11" s="8"/>
      <c r="K11" s="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s="10" customFormat="1" ht="15.75" thickBot="1" x14ac:dyDescent="0.3">
      <c r="A12" s="5" t="s">
        <v>9</v>
      </c>
      <c r="B12" s="9">
        <v>170517826.80000001</v>
      </c>
      <c r="C12" s="9">
        <v>12423824.869999999</v>
      </c>
      <c r="D12" s="9">
        <v>14364853.120000012</v>
      </c>
      <c r="E12" s="9">
        <v>18829622.659999982</v>
      </c>
      <c r="F12" s="9">
        <v>24611083.34</v>
      </c>
      <c r="G12" s="9">
        <v>14258344.810000001</v>
      </c>
      <c r="H12" s="9">
        <v>16457773.779999999</v>
      </c>
      <c r="I12" s="9">
        <v>16150713</v>
      </c>
      <c r="J12" s="9">
        <v>20707979.039999999</v>
      </c>
      <c r="K12" s="9">
        <v>20721325.969999999</v>
      </c>
      <c r="L12" s="9">
        <v>12097978.41</v>
      </c>
      <c r="M12" s="9">
        <v>19196635.25</v>
      </c>
      <c r="N12" s="9">
        <v>15280573.5</v>
      </c>
      <c r="O12" s="9">
        <v>375618534.54999995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</row>
    <row r="13" spans="1:57" s="10" customFormat="1" ht="16.5" thickTop="1" thickBot="1" x14ac:dyDescent="0.3">
      <c r="A13" s="17" t="s">
        <v>18</v>
      </c>
      <c r="B13" s="20">
        <v>13.3</v>
      </c>
      <c r="C13" s="20">
        <v>13.98</v>
      </c>
      <c r="D13" s="20">
        <v>15.9</v>
      </c>
      <c r="E13" s="20">
        <v>14.8</v>
      </c>
      <c r="F13" s="20">
        <v>14.5</v>
      </c>
      <c r="G13" s="20">
        <v>14.2</v>
      </c>
      <c r="H13" s="20">
        <v>15.2</v>
      </c>
      <c r="I13" s="20">
        <v>15.2</v>
      </c>
      <c r="J13" s="20">
        <v>15.1</v>
      </c>
      <c r="K13" s="20">
        <v>15.5</v>
      </c>
      <c r="L13" s="20">
        <v>15.4</v>
      </c>
      <c r="M13" s="20">
        <v>16.100000000000001</v>
      </c>
      <c r="N13" s="20">
        <v>16.100000000000001</v>
      </c>
      <c r="O13" s="20">
        <v>16.100000000000001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</row>
    <row r="14" spans="1:57" s="10" customFormat="1" ht="16.5" thickTop="1" thickBot="1" x14ac:dyDescent="0.3">
      <c r="A14" s="17" t="s">
        <v>19</v>
      </c>
      <c r="B14" s="21">
        <v>12820889.233082706</v>
      </c>
      <c r="C14" s="21">
        <v>888685.61301859794</v>
      </c>
      <c r="D14" s="21">
        <v>903449.88176100701</v>
      </c>
      <c r="E14" s="21">
        <v>1272271.80135135</v>
      </c>
      <c r="F14" s="21">
        <v>1697316.0924137931</v>
      </c>
      <c r="G14" s="21">
        <v>1004108.7894366198</v>
      </c>
      <c r="H14" s="21">
        <v>1082748.2749999999</v>
      </c>
      <c r="I14" s="21">
        <v>1062546.9078947369</v>
      </c>
      <c r="J14" s="21">
        <v>1371389.340397351</v>
      </c>
      <c r="K14" s="21">
        <v>1336859.74</v>
      </c>
      <c r="L14" s="21">
        <v>785583.01363636367</v>
      </c>
      <c r="M14" s="21">
        <v>1192337.5931677017</v>
      </c>
      <c r="N14" s="21">
        <v>949103.944099379</v>
      </c>
      <c r="O14" s="21">
        <v>23330343.760869559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57" ht="15.75" thickTop="1" x14ac:dyDescent="0.25">
      <c r="C15" s="8"/>
      <c r="D15" s="8"/>
      <c r="E15" s="8"/>
      <c r="F15" s="8"/>
      <c r="G15" s="8"/>
      <c r="H15" s="8"/>
      <c r="I15" s="8"/>
      <c r="J15" s="8"/>
      <c r="K15" s="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C16" s="8"/>
      <c r="D16" s="8"/>
      <c r="E16" s="8"/>
      <c r="F16" s="8"/>
      <c r="G16" s="8"/>
      <c r="H16" s="8"/>
      <c r="I16" s="8"/>
      <c r="J16" s="8"/>
      <c r="K16" s="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" t="s">
        <v>10</v>
      </c>
      <c r="B17" s="3"/>
      <c r="C17" s="8"/>
      <c r="D17" s="8"/>
      <c r="E17" s="8"/>
      <c r="F17" s="8"/>
      <c r="G17" s="8"/>
      <c r="H17" s="8"/>
      <c r="I17" s="8"/>
      <c r="J17" s="8"/>
      <c r="K17" s="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4" t="s">
        <v>4</v>
      </c>
      <c r="B18" s="12">
        <v>10339612.26</v>
      </c>
      <c r="C18" s="8">
        <v>3416088.58</v>
      </c>
      <c r="D18" s="8">
        <v>1314754.6600000001</v>
      </c>
      <c r="E18" s="8">
        <v>1528953.4800000004</v>
      </c>
      <c r="F18" s="8">
        <v>1874906.0999999978</v>
      </c>
      <c r="G18" s="8">
        <v>1311848.74</v>
      </c>
      <c r="H18" s="8">
        <v>1192903.17</v>
      </c>
      <c r="I18" s="8">
        <v>1663196.02</v>
      </c>
      <c r="J18" s="8">
        <v>503208.77</v>
      </c>
      <c r="K18" s="8">
        <v>1449281.3</v>
      </c>
      <c r="L18" s="2">
        <v>1075046.67</v>
      </c>
      <c r="M18" s="2">
        <v>1083530.25</v>
      </c>
      <c r="N18" s="2">
        <v>690515.86</v>
      </c>
      <c r="O18" s="2">
        <v>27443845.859999992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4" t="s">
        <v>30</v>
      </c>
      <c r="B19" s="12">
        <v>132686462.49000001</v>
      </c>
      <c r="C19" s="8">
        <v>0</v>
      </c>
      <c r="D19" s="8">
        <v>0</v>
      </c>
      <c r="E19" s="8">
        <v>0</v>
      </c>
      <c r="F19" s="8">
        <v>14453138.75</v>
      </c>
      <c r="G19" s="8">
        <v>16535610.939999999</v>
      </c>
      <c r="H19" s="8">
        <v>16187893.859999999</v>
      </c>
      <c r="I19" s="8">
        <v>6229550.5499999998</v>
      </c>
      <c r="J19" s="8">
        <v>6131853.7599999998</v>
      </c>
      <c r="K19" s="8">
        <v>6866321.8300000001</v>
      </c>
      <c r="L19" s="2">
        <v>6518168.7000000002</v>
      </c>
      <c r="M19" s="2">
        <v>16312581.279999999</v>
      </c>
      <c r="N19" s="2">
        <v>13455012.720000001</v>
      </c>
      <c r="O19" s="2">
        <v>235376594.88000003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4" t="s">
        <v>5</v>
      </c>
      <c r="B20" s="12">
        <v>18602036.879999999</v>
      </c>
      <c r="C20" s="8">
        <v>321989.55999999866</v>
      </c>
      <c r="D20" s="8">
        <v>364196.92000000179</v>
      </c>
      <c r="E20" s="8">
        <v>391914.28000000119</v>
      </c>
      <c r="F20" s="8">
        <v>1490405.4499999993</v>
      </c>
      <c r="G20" s="8">
        <v>588357.71</v>
      </c>
      <c r="H20" s="8">
        <v>268979.14</v>
      </c>
      <c r="I20" s="8">
        <v>255524.17</v>
      </c>
      <c r="J20" s="8">
        <v>240919.26</v>
      </c>
      <c r="K20" s="8">
        <v>296327.96999999997</v>
      </c>
      <c r="L20" s="2">
        <v>263740.23</v>
      </c>
      <c r="M20" s="2">
        <v>257431.8</v>
      </c>
      <c r="N20" s="2">
        <v>352095.68</v>
      </c>
      <c r="O20" s="2">
        <v>23693919.050000004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4" t="s">
        <v>7</v>
      </c>
      <c r="B21" s="12">
        <v>6710354.21</v>
      </c>
      <c r="C21" s="8">
        <v>-3380786.58</v>
      </c>
      <c r="D21" s="8">
        <v>19100000</v>
      </c>
      <c r="E21" s="8"/>
      <c r="F21" s="8">
        <v>5599999.9999999991</v>
      </c>
      <c r="G21" s="8"/>
      <c r="H21" s="8"/>
      <c r="I21" s="8">
        <v>3300000</v>
      </c>
      <c r="J21" s="8">
        <v>5900000</v>
      </c>
      <c r="K21" s="8">
        <v>4000000</v>
      </c>
      <c r="L21" s="2"/>
      <c r="M21" s="2"/>
      <c r="N21" s="2"/>
      <c r="O21" s="2">
        <v>41229567.629999995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4" t="s">
        <v>13</v>
      </c>
      <c r="B22" s="14">
        <v>0</v>
      </c>
      <c r="C22" s="8"/>
      <c r="D22" s="8"/>
      <c r="E22" s="8"/>
      <c r="F22" s="8"/>
      <c r="G22" s="8"/>
      <c r="H22" s="8"/>
      <c r="I22" s="8"/>
      <c r="J22" s="8"/>
      <c r="K22" s="8"/>
      <c r="L22" s="2"/>
      <c r="M22" s="2"/>
      <c r="N22" s="2"/>
      <c r="O22" s="2"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4" t="s">
        <v>17</v>
      </c>
      <c r="B23" s="14"/>
      <c r="C23" s="8"/>
      <c r="D23" s="8"/>
      <c r="E23" s="8"/>
      <c r="F23" s="8">
        <v>4999999.2</v>
      </c>
      <c r="G23" s="8"/>
      <c r="H23" s="8"/>
      <c r="I23" s="8">
        <v>3299992.4</v>
      </c>
      <c r="J23" s="8">
        <v>5899804</v>
      </c>
      <c r="K23" s="8">
        <v>3999880</v>
      </c>
      <c r="L23" s="2">
        <v>5999986.7999999998</v>
      </c>
      <c r="M23" s="2"/>
      <c r="N23" s="2"/>
      <c r="O23" s="2">
        <v>24199662.400000002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C24" s="8"/>
      <c r="D24" s="8"/>
      <c r="E24" s="8"/>
      <c r="F24" s="8"/>
      <c r="G24" s="8"/>
      <c r="H24" s="8"/>
      <c r="I24" s="8"/>
      <c r="J24" s="8"/>
      <c r="K24" s="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C25" s="8"/>
      <c r="D25" s="8"/>
      <c r="E25" s="8"/>
      <c r="F25" s="8"/>
      <c r="G25" s="8"/>
      <c r="H25" s="8"/>
      <c r="I25" s="8"/>
      <c r="J25" s="8"/>
      <c r="K25" s="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s="10" customFormat="1" ht="15.75" thickBot="1" x14ac:dyDescent="0.3">
      <c r="A26" s="5" t="s">
        <v>11</v>
      </c>
      <c r="B26" s="9">
        <v>168338465.84</v>
      </c>
      <c r="C26" s="9">
        <v>357291.55999999866</v>
      </c>
      <c r="D26" s="9">
        <v>20778951.580000002</v>
      </c>
      <c r="E26" s="9">
        <v>1920867.7600000016</v>
      </c>
      <c r="F26" s="9">
        <v>28418449.499999996</v>
      </c>
      <c r="G26" s="9">
        <v>18435817.390000001</v>
      </c>
      <c r="H26" s="9">
        <v>17649776.170000002</v>
      </c>
      <c r="I26" s="9">
        <v>14748263.140000001</v>
      </c>
      <c r="J26" s="9">
        <v>18675785.789999999</v>
      </c>
      <c r="K26" s="9">
        <v>16611811.1</v>
      </c>
      <c r="L26" s="9">
        <v>13856942.399999999</v>
      </c>
      <c r="M26" s="9">
        <v>17653543.330000002</v>
      </c>
      <c r="N26" s="9">
        <v>14497624.26</v>
      </c>
      <c r="O26" s="9">
        <v>351943589.81999999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</row>
    <row r="27" spans="1:57" s="10" customFormat="1" ht="16.5" thickTop="1" thickBot="1" x14ac:dyDescent="0.3">
      <c r="A27" s="17" t="s">
        <v>18</v>
      </c>
      <c r="B27" s="20">
        <v>13.3</v>
      </c>
      <c r="C27" s="20">
        <v>13.98</v>
      </c>
      <c r="D27" s="20">
        <v>15.9</v>
      </c>
      <c r="E27" s="20">
        <v>14.8</v>
      </c>
      <c r="F27" s="20">
        <v>14.5</v>
      </c>
      <c r="G27" s="20">
        <v>14.2</v>
      </c>
      <c r="H27" s="20">
        <v>15.2</v>
      </c>
      <c r="I27" s="20">
        <v>15.2</v>
      </c>
      <c r="J27" s="20">
        <v>15.1</v>
      </c>
      <c r="K27" s="20">
        <v>15.5</v>
      </c>
      <c r="L27" s="20">
        <v>15.4</v>
      </c>
      <c r="M27" s="20">
        <v>16.100000000000001</v>
      </c>
      <c r="N27" s="20">
        <v>16.100000000000001</v>
      </c>
      <c r="O27" s="20">
        <v>16.100000000000001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</row>
    <row r="28" spans="1:57" s="10" customFormat="1" ht="16.5" thickTop="1" thickBot="1" x14ac:dyDescent="0.3">
      <c r="A28" s="17" t="s">
        <v>20</v>
      </c>
      <c r="B28" s="21">
        <v>12657027.506766917</v>
      </c>
      <c r="C28" s="21">
        <v>25557.336194563566</v>
      </c>
      <c r="D28" s="21">
        <v>1306852.3006289308</v>
      </c>
      <c r="E28" s="21">
        <v>129788.36216216227</v>
      </c>
      <c r="F28" s="21">
        <v>1959893.068965517</v>
      </c>
      <c r="G28" s="21">
        <v>1298296.9992957748</v>
      </c>
      <c r="H28" s="21">
        <v>1161169.4848684212</v>
      </c>
      <c r="I28" s="21">
        <v>970280.46973684221</v>
      </c>
      <c r="J28" s="21">
        <v>1236807.0059602649</v>
      </c>
      <c r="K28" s="21">
        <v>1071729.7483870967</v>
      </c>
      <c r="L28" s="21">
        <v>899801.45454545447</v>
      </c>
      <c r="M28" s="21">
        <v>1096493.3745341615</v>
      </c>
      <c r="N28" s="21">
        <v>900473.556521739</v>
      </c>
      <c r="O28" s="21">
        <v>21859850.299378902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</row>
    <row r="29" spans="1:57" s="10" customFormat="1" ht="15.75" thickTop="1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</row>
    <row r="30" spans="1:57" x14ac:dyDescent="0.25">
      <c r="C30" s="8"/>
      <c r="D30" s="8"/>
      <c r="E30" s="8"/>
      <c r="F30" s="8"/>
      <c r="G30" s="8"/>
      <c r="H30" s="8"/>
      <c r="I30" s="8"/>
      <c r="J30" s="8"/>
      <c r="K30" s="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s="10" customFormat="1" ht="15.75" thickBot="1" x14ac:dyDescent="0.3">
      <c r="A31" s="5" t="s">
        <v>6</v>
      </c>
      <c r="B31" s="9">
        <v>2179360.9600000083</v>
      </c>
      <c r="C31" s="9">
        <v>12066533.310000001</v>
      </c>
      <c r="D31" s="9">
        <v>-6414098.4599999897</v>
      </c>
      <c r="E31" s="9">
        <v>16908754.89999998</v>
      </c>
      <c r="F31" s="9">
        <v>-3807366.1599999964</v>
      </c>
      <c r="G31" s="9">
        <v>-4177472.58</v>
      </c>
      <c r="H31" s="9">
        <v>-1192002.3900000025</v>
      </c>
      <c r="I31" s="9">
        <v>1402449.8599999994</v>
      </c>
      <c r="J31" s="9">
        <v>2032193.25</v>
      </c>
      <c r="K31" s="9">
        <v>4109514.8699999992</v>
      </c>
      <c r="L31" s="9">
        <v>-1758963.9899999984</v>
      </c>
      <c r="M31" s="9">
        <v>1543091.9199999981</v>
      </c>
      <c r="N31" s="9">
        <v>782949.24000000022</v>
      </c>
      <c r="O31" s="9">
        <v>23674944.729999959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</row>
    <row r="32" spans="1:57" ht="16.5" thickTop="1" thickBot="1" x14ac:dyDescent="0.3">
      <c r="A32" s="18" t="s">
        <v>21</v>
      </c>
      <c r="B32" s="22">
        <v>163861.72631578892</v>
      </c>
      <c r="C32" s="22">
        <v>863128.2768240344</v>
      </c>
      <c r="D32" s="22">
        <v>-403402.41886792379</v>
      </c>
      <c r="E32" s="22">
        <v>1142483.4391891877</v>
      </c>
      <c r="F32" s="22">
        <v>-262576.9765517239</v>
      </c>
      <c r="G32" s="22">
        <v>-294188.209859155</v>
      </c>
      <c r="H32" s="22">
        <v>-78421.209868421312</v>
      </c>
      <c r="I32" s="22">
        <v>92266.438157894649</v>
      </c>
      <c r="J32" s="22">
        <v>134582.33443708601</v>
      </c>
      <c r="K32" s="22">
        <v>265129.99161290331</v>
      </c>
      <c r="L32" s="22">
        <v>-114218.4409090908</v>
      </c>
      <c r="M32" s="22">
        <v>95844.218633540208</v>
      </c>
      <c r="N32" s="22">
        <v>48630.387577639776</v>
      </c>
      <c r="O32" s="22">
        <v>1470493.4614906795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ht="15.75" thickTop="1" x14ac:dyDescent="0.2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B34" s="23"/>
      <c r="C34" s="23"/>
      <c r="D34" s="23"/>
      <c r="E34" s="23"/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19" t="s">
        <v>22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3:57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3:57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3:57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3:57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3:57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3:57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3:57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3:57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3:57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3:57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3:57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3:57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3:57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3:57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3:57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3:57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3:57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3:57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3:57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3:57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3:57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3:57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3:57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3:57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3:57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3:57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3:57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3:57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3:57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3:57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3:57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3:57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3:57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3:57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3:57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3:57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3:57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3:57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3:57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3:57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3:57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spans="3:57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spans="3:57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spans="3:57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spans="3:57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  <row r="94" spans="3:57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</row>
    <row r="95" spans="3:57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</row>
    <row r="96" spans="3:57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</row>
    <row r="97" spans="3:57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  <row r="98" spans="3:57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</row>
    <row r="99" spans="3:57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</row>
    <row r="100" spans="3:57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</row>
    <row r="101" spans="3:57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</row>
    <row r="102" spans="3:57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</row>
    <row r="103" spans="3:57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</row>
    <row r="104" spans="3:57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3:57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3:57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</row>
    <row r="107" spans="3:57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spans="3:57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</row>
    <row r="109" spans="3:57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</row>
    <row r="110" spans="3:57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</row>
    <row r="111" spans="3:57" x14ac:dyDescent="0.2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</row>
    <row r="112" spans="3:57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</row>
    <row r="113" spans="3:57" x14ac:dyDescent="0.2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4" spans="3:57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</row>
    <row r="115" spans="3:57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</row>
    <row r="116" spans="3:57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</row>
    <row r="117" spans="3:57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</row>
    <row r="118" spans="3:57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</row>
    <row r="119" spans="3:57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</row>
    <row r="120" spans="3:57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</row>
    <row r="121" spans="3:57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</row>
    <row r="122" spans="3:57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</row>
    <row r="123" spans="3:57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</row>
    <row r="124" spans="3:57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</row>
    <row r="125" spans="3:57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</row>
    <row r="126" spans="3:57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</row>
    <row r="127" spans="3:57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</row>
    <row r="128" spans="3:57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</row>
    <row r="129" spans="3:57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</row>
    <row r="130" spans="3:57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</row>
    <row r="131" spans="3:57" x14ac:dyDescent="0.2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</row>
    <row r="132" spans="3:57" x14ac:dyDescent="0.2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</row>
    <row r="133" spans="3:57" x14ac:dyDescent="0.2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</row>
    <row r="134" spans="3:57" x14ac:dyDescent="0.2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</row>
    <row r="135" spans="3:57" x14ac:dyDescent="0.2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</row>
    <row r="136" spans="3:57" x14ac:dyDescent="0.2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</row>
    <row r="137" spans="3:57" x14ac:dyDescent="0.2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</row>
    <row r="138" spans="3:57" x14ac:dyDescent="0.2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</row>
    <row r="139" spans="3:57" x14ac:dyDescent="0.2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</row>
    <row r="140" spans="3:57" x14ac:dyDescent="0.2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</row>
    <row r="141" spans="3:57" x14ac:dyDescent="0.2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</row>
    <row r="142" spans="3:57" x14ac:dyDescent="0.2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</row>
    <row r="143" spans="3:57" x14ac:dyDescent="0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</row>
    <row r="144" spans="3:57" x14ac:dyDescent="0.2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</row>
    <row r="145" spans="3:57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</row>
    <row r="146" spans="3:57" x14ac:dyDescent="0.2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</row>
    <row r="147" spans="3:57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</row>
    <row r="148" spans="3:57" x14ac:dyDescent="0.2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</row>
    <row r="149" spans="3:57" x14ac:dyDescent="0.2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</row>
    <row r="150" spans="3:57" x14ac:dyDescent="0.2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</row>
    <row r="151" spans="3:57" x14ac:dyDescent="0.2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</row>
    <row r="152" spans="3:57" x14ac:dyDescent="0.2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</row>
    <row r="153" spans="3:57" x14ac:dyDescent="0.2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</row>
    <row r="154" spans="3:57" x14ac:dyDescent="0.2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</row>
    <row r="155" spans="3:57" x14ac:dyDescent="0.2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</row>
    <row r="156" spans="3:57" x14ac:dyDescent="0.2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</row>
    <row r="157" spans="3:57" x14ac:dyDescent="0.2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</row>
    <row r="158" spans="3:57" x14ac:dyDescent="0.2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</row>
    <row r="159" spans="3:57" x14ac:dyDescent="0.2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</row>
    <row r="160" spans="3:57" x14ac:dyDescent="0.2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</row>
    <row r="161" spans="3:57" x14ac:dyDescent="0.2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</row>
    <row r="162" spans="3:57" x14ac:dyDescent="0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</row>
    <row r="163" spans="3:57" x14ac:dyDescent="0.2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</row>
    <row r="164" spans="3:57" x14ac:dyDescent="0.2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</row>
    <row r="165" spans="3:57" x14ac:dyDescent="0.2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</row>
    <row r="166" spans="3:57" x14ac:dyDescent="0.2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</row>
    <row r="167" spans="3:57" x14ac:dyDescent="0.2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</row>
    <row r="168" spans="3:57" x14ac:dyDescent="0.2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</row>
    <row r="169" spans="3:57" x14ac:dyDescent="0.2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</row>
    <row r="170" spans="3:57" x14ac:dyDescent="0.2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</row>
    <row r="171" spans="3:57" x14ac:dyDescent="0.2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</row>
    <row r="172" spans="3:57" x14ac:dyDescent="0.2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</row>
    <row r="173" spans="3:57" x14ac:dyDescent="0.2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</row>
    <row r="174" spans="3:57" x14ac:dyDescent="0.2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</row>
    <row r="175" spans="3:57" x14ac:dyDescent="0.2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</row>
    <row r="176" spans="3:57" x14ac:dyDescent="0.2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</row>
    <row r="177" spans="3:57" x14ac:dyDescent="0.2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</row>
    <row r="178" spans="3:57" x14ac:dyDescent="0.2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</row>
    <row r="179" spans="3:57" x14ac:dyDescent="0.2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</row>
    <row r="180" spans="3:57" x14ac:dyDescent="0.2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</row>
    <row r="181" spans="3:57" x14ac:dyDescent="0.2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</row>
    <row r="182" spans="3:57" x14ac:dyDescent="0.2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</row>
    <row r="183" spans="3:57" x14ac:dyDescent="0.2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</row>
    <row r="184" spans="3:57" x14ac:dyDescent="0.2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</row>
    <row r="185" spans="3:57" x14ac:dyDescent="0.2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</row>
    <row r="186" spans="3:57" x14ac:dyDescent="0.2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</row>
    <row r="187" spans="3:57" x14ac:dyDescent="0.2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</row>
    <row r="188" spans="3:57" x14ac:dyDescent="0.2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</row>
    <row r="189" spans="3:57" x14ac:dyDescent="0.2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</row>
    <row r="190" spans="3:57" x14ac:dyDescent="0.2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</row>
    <row r="191" spans="3:57" x14ac:dyDescent="0.2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</row>
    <row r="192" spans="3:57" x14ac:dyDescent="0.2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</row>
    <row r="193" spans="3:57" x14ac:dyDescent="0.2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</row>
    <row r="194" spans="3:57" x14ac:dyDescent="0.2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</row>
    <row r="195" spans="3:57" x14ac:dyDescent="0.2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</row>
    <row r="196" spans="3:57" x14ac:dyDescent="0.2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</row>
    <row r="197" spans="3:57" x14ac:dyDescent="0.2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</row>
    <row r="198" spans="3:57" x14ac:dyDescent="0.2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</row>
    <row r="199" spans="3:57" x14ac:dyDescent="0.2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</row>
    <row r="200" spans="3:57" x14ac:dyDescent="0.2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</row>
    <row r="201" spans="3:57" x14ac:dyDescent="0.2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</row>
    <row r="202" spans="3:57" x14ac:dyDescent="0.2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</row>
    <row r="203" spans="3:57" x14ac:dyDescent="0.2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</row>
    <row r="204" spans="3:57" x14ac:dyDescent="0.2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</row>
    <row r="205" spans="3:57" x14ac:dyDescent="0.2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</row>
    <row r="206" spans="3:57" x14ac:dyDescent="0.2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</row>
    <row r="207" spans="3:57" x14ac:dyDescent="0.2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</row>
    <row r="208" spans="3:57" x14ac:dyDescent="0.2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</row>
    <row r="209" spans="3:57" x14ac:dyDescent="0.2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</row>
    <row r="210" spans="3:57" x14ac:dyDescent="0.2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</row>
    <row r="211" spans="3:57" x14ac:dyDescent="0.2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</row>
    <row r="212" spans="3:57" x14ac:dyDescent="0.2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</row>
    <row r="213" spans="3:57" x14ac:dyDescent="0.2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</row>
    <row r="214" spans="3:57" x14ac:dyDescent="0.2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</row>
    <row r="215" spans="3:57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</row>
    <row r="216" spans="3:57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</row>
    <row r="217" spans="3:57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</row>
    <row r="218" spans="3:57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</row>
    <row r="219" spans="3:57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</row>
    <row r="220" spans="3:57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</row>
    <row r="221" spans="3:57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</row>
    <row r="222" spans="3:57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</row>
    <row r="223" spans="3:57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</row>
    <row r="224" spans="3:57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</row>
    <row r="225" spans="3:57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</row>
    <row r="226" spans="3:57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</row>
    <row r="227" spans="3:57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</row>
    <row r="228" spans="3:57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</row>
    <row r="229" spans="3:57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</row>
    <row r="230" spans="3:57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</row>
    <row r="231" spans="3:57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</row>
    <row r="232" spans="3:57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</row>
    <row r="233" spans="3:57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</row>
    <row r="234" spans="3:57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</row>
    <row r="235" spans="3:57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</row>
    <row r="236" spans="3:57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</row>
    <row r="237" spans="3:57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</row>
    <row r="238" spans="3:57" x14ac:dyDescent="0.2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</row>
    <row r="239" spans="3:57" x14ac:dyDescent="0.2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</row>
    <row r="240" spans="3:57" x14ac:dyDescent="0.2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</row>
    <row r="241" spans="3:57" x14ac:dyDescent="0.2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</row>
    <row r="242" spans="3:57" x14ac:dyDescent="0.2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</row>
    <row r="243" spans="3:57" x14ac:dyDescent="0.2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</row>
    <row r="244" spans="3:57" x14ac:dyDescent="0.2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</row>
    <row r="245" spans="3:57" x14ac:dyDescent="0.2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</row>
    <row r="246" spans="3:57" x14ac:dyDescent="0.2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</row>
    <row r="247" spans="3:57" x14ac:dyDescent="0.2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</row>
    <row r="248" spans="3:57" x14ac:dyDescent="0.2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</row>
    <row r="249" spans="3:57" x14ac:dyDescent="0.2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</row>
    <row r="250" spans="3:57" x14ac:dyDescent="0.2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</row>
    <row r="251" spans="3:57" x14ac:dyDescent="0.2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</row>
    <row r="252" spans="3:57" x14ac:dyDescent="0.2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</row>
    <row r="253" spans="3:57" x14ac:dyDescent="0.2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</row>
    <row r="254" spans="3:57" x14ac:dyDescent="0.2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</row>
    <row r="255" spans="3:57" x14ac:dyDescent="0.2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</row>
    <row r="256" spans="3:57" x14ac:dyDescent="0.2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</row>
    <row r="257" spans="3:57" x14ac:dyDescent="0.2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</row>
    <row r="258" spans="3:57" x14ac:dyDescent="0.2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</row>
    <row r="259" spans="3:57" x14ac:dyDescent="0.2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</row>
    <row r="260" spans="3:57" x14ac:dyDescent="0.2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</row>
    <row r="261" spans="3:57" x14ac:dyDescent="0.2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</row>
    <row r="262" spans="3:57" x14ac:dyDescent="0.2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</row>
    <row r="263" spans="3:57" x14ac:dyDescent="0.2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</row>
    <row r="264" spans="3:57" x14ac:dyDescent="0.2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</row>
    <row r="265" spans="3:57" x14ac:dyDescent="0.2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</row>
    <row r="266" spans="3:57" x14ac:dyDescent="0.2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</row>
    <row r="267" spans="3:57" x14ac:dyDescent="0.2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</row>
    <row r="268" spans="3:57" x14ac:dyDescent="0.2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</row>
    <row r="269" spans="3:57" x14ac:dyDescent="0.2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</row>
    <row r="270" spans="3:57" x14ac:dyDescent="0.2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</row>
    <row r="271" spans="3:57" x14ac:dyDescent="0.2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</row>
    <row r="272" spans="3:57" x14ac:dyDescent="0.2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</row>
    <row r="273" spans="3:57" x14ac:dyDescent="0.2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</row>
    <row r="274" spans="3:57" x14ac:dyDescent="0.2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</row>
    <row r="275" spans="3:57" x14ac:dyDescent="0.2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</row>
    <row r="276" spans="3:57" x14ac:dyDescent="0.2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</row>
    <row r="277" spans="3:57" x14ac:dyDescent="0.2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</row>
    <row r="278" spans="3:57" x14ac:dyDescent="0.2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</row>
    <row r="279" spans="3:57" x14ac:dyDescent="0.2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</row>
    <row r="280" spans="3:57" x14ac:dyDescent="0.2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</row>
    <row r="281" spans="3:57" x14ac:dyDescent="0.2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</row>
    <row r="282" spans="3:57" x14ac:dyDescent="0.2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</row>
    <row r="283" spans="3:57" x14ac:dyDescent="0.2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</row>
    <row r="284" spans="3:57" x14ac:dyDescent="0.2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</row>
    <row r="285" spans="3:57" x14ac:dyDescent="0.2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</row>
    <row r="286" spans="3:57" x14ac:dyDescent="0.2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</row>
    <row r="287" spans="3:57" x14ac:dyDescent="0.2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</row>
    <row r="288" spans="3:57" x14ac:dyDescent="0.2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</row>
    <row r="289" spans="3:57" x14ac:dyDescent="0.2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</row>
    <row r="290" spans="3:57" x14ac:dyDescent="0.2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</row>
    <row r="291" spans="3:57" x14ac:dyDescent="0.2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</row>
    <row r="292" spans="3:57" x14ac:dyDescent="0.2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</row>
    <row r="293" spans="3:57" x14ac:dyDescent="0.2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</row>
    <row r="294" spans="3:57" x14ac:dyDescent="0.2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</row>
    <row r="295" spans="3:57" x14ac:dyDescent="0.2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</row>
    <row r="296" spans="3:57" x14ac:dyDescent="0.2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</row>
    <row r="297" spans="3:57" x14ac:dyDescent="0.2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</row>
    <row r="298" spans="3:57" x14ac:dyDescent="0.2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</row>
    <row r="299" spans="3:57" x14ac:dyDescent="0.2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</row>
    <row r="300" spans="3:57" x14ac:dyDescent="0.2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</row>
    <row r="301" spans="3:57" x14ac:dyDescent="0.2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</row>
    <row r="302" spans="3:57" x14ac:dyDescent="0.2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</row>
    <row r="303" spans="3:57" x14ac:dyDescent="0.2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</row>
    <row r="304" spans="3:57" x14ac:dyDescent="0.2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</row>
    <row r="305" spans="3:57" x14ac:dyDescent="0.2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</row>
    <row r="306" spans="3:57" x14ac:dyDescent="0.2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</row>
    <row r="307" spans="3:57" x14ac:dyDescent="0.2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</row>
    <row r="308" spans="3:57" x14ac:dyDescent="0.2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</row>
    <row r="309" spans="3:57" x14ac:dyDescent="0.2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</row>
    <row r="310" spans="3:57" x14ac:dyDescent="0.2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</row>
    <row r="311" spans="3:57" x14ac:dyDescent="0.2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</row>
    <row r="312" spans="3:57" x14ac:dyDescent="0.2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</row>
    <row r="313" spans="3:57" x14ac:dyDescent="0.2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</row>
    <row r="314" spans="3:57" x14ac:dyDescent="0.2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</row>
    <row r="315" spans="3:57" x14ac:dyDescent="0.2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</row>
    <row r="316" spans="3:57" x14ac:dyDescent="0.2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</row>
    <row r="317" spans="3:57" x14ac:dyDescent="0.2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</row>
    <row r="318" spans="3:57" x14ac:dyDescent="0.2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</row>
    <row r="319" spans="3:57" x14ac:dyDescent="0.2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</row>
    <row r="320" spans="3:57" x14ac:dyDescent="0.2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</row>
    <row r="321" spans="3:57" x14ac:dyDescent="0.2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</row>
    <row r="322" spans="3:57" x14ac:dyDescent="0.2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</row>
    <row r="323" spans="3:57" x14ac:dyDescent="0.2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</row>
    <row r="324" spans="3:57" x14ac:dyDescent="0.2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</row>
    <row r="325" spans="3:57" x14ac:dyDescent="0.2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</row>
    <row r="326" spans="3:57" x14ac:dyDescent="0.2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</row>
    <row r="327" spans="3:57" x14ac:dyDescent="0.2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</row>
    <row r="328" spans="3:57" x14ac:dyDescent="0.2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</row>
    <row r="329" spans="3:57" x14ac:dyDescent="0.2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</row>
    <row r="330" spans="3:57" x14ac:dyDescent="0.2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</row>
    <row r="331" spans="3:57" x14ac:dyDescent="0.2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</row>
    <row r="332" spans="3:57" x14ac:dyDescent="0.2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</row>
    <row r="333" spans="3:57" x14ac:dyDescent="0.2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</row>
    <row r="334" spans="3:57" x14ac:dyDescent="0.2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</row>
    <row r="335" spans="3:57" x14ac:dyDescent="0.2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</row>
    <row r="336" spans="3:57" x14ac:dyDescent="0.2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</row>
    <row r="337" spans="3:57" x14ac:dyDescent="0.2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</row>
    <row r="338" spans="3:57" x14ac:dyDescent="0.2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</row>
    <row r="339" spans="3:57" x14ac:dyDescent="0.2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</row>
    <row r="340" spans="3:57" x14ac:dyDescent="0.2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</row>
    <row r="341" spans="3:57" x14ac:dyDescent="0.2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</row>
    <row r="342" spans="3:57" x14ac:dyDescent="0.2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</row>
    <row r="343" spans="3:57" x14ac:dyDescent="0.2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</row>
    <row r="344" spans="3:57" x14ac:dyDescent="0.2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</row>
    <row r="345" spans="3:57" x14ac:dyDescent="0.2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</row>
    <row r="346" spans="3:57" x14ac:dyDescent="0.2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</row>
    <row r="347" spans="3:57" x14ac:dyDescent="0.2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</row>
    <row r="348" spans="3:57" x14ac:dyDescent="0.2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</row>
    <row r="349" spans="3:57" x14ac:dyDescent="0.2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</row>
    <row r="350" spans="3:57" x14ac:dyDescent="0.2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</row>
    <row r="351" spans="3:57" x14ac:dyDescent="0.2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</row>
    <row r="352" spans="3:57" x14ac:dyDescent="0.2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</row>
    <row r="353" spans="3:57" x14ac:dyDescent="0.2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</row>
    <row r="354" spans="3:57" x14ac:dyDescent="0.2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</row>
    <row r="355" spans="3:57" x14ac:dyDescent="0.2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</row>
    <row r="356" spans="3:57" x14ac:dyDescent="0.2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</row>
    <row r="357" spans="3:57" x14ac:dyDescent="0.2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</row>
    <row r="358" spans="3:57" x14ac:dyDescent="0.2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</row>
    <row r="359" spans="3:57" x14ac:dyDescent="0.2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</row>
    <row r="360" spans="3:57" x14ac:dyDescent="0.2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</row>
    <row r="361" spans="3:57" x14ac:dyDescent="0.2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</row>
    <row r="362" spans="3:57" x14ac:dyDescent="0.2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</row>
  </sheetData>
  <mergeCells count="2">
    <mergeCell ref="C2:H2"/>
    <mergeCell ref="C3:H3"/>
  </mergeCells>
  <pageMargins left="0.70866141732283472" right="0.70866141732283472" top="0.74803149606299213" bottom="0.74803149606299213" header="0.31496062992125984" footer="0.31496062992125984"/>
  <pageSetup paperSize="9" scale="60" fitToWidth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62"/>
  <sheetViews>
    <sheetView workbookViewId="0">
      <pane xSplit="1" topLeftCell="K1" activePane="topRight" state="frozen"/>
      <selection pane="topRight" activeCell="Q6" sqref="Q6"/>
    </sheetView>
  </sheetViews>
  <sheetFormatPr baseColWidth="10" defaultColWidth="9.140625" defaultRowHeight="15" x14ac:dyDescent="0.25"/>
  <cols>
    <col min="1" max="1" width="52.7109375" bestFit="1" customWidth="1"/>
    <col min="2" max="2" width="33.28515625" customWidth="1"/>
    <col min="3" max="3" width="18.140625" customWidth="1"/>
    <col min="4" max="8" width="17.42578125" bestFit="1" customWidth="1"/>
    <col min="9" max="9" width="17" customWidth="1"/>
    <col min="10" max="10" width="17.42578125" bestFit="1" customWidth="1"/>
    <col min="11" max="11" width="17.140625" customWidth="1"/>
    <col min="12" max="12" width="18.28515625" customWidth="1"/>
    <col min="13" max="13" width="18" customWidth="1"/>
    <col min="14" max="14" width="18.28515625" customWidth="1"/>
    <col min="15" max="15" width="32.85546875" customWidth="1"/>
  </cols>
  <sheetData>
    <row r="2" spans="1:57" x14ac:dyDescent="0.25">
      <c r="C2" s="38" t="s">
        <v>0</v>
      </c>
      <c r="D2" s="38"/>
      <c r="E2" s="38"/>
      <c r="F2" s="38"/>
      <c r="G2" s="38"/>
      <c r="H2" s="38"/>
    </row>
    <row r="3" spans="1:57" x14ac:dyDescent="0.25">
      <c r="C3" s="38" t="s">
        <v>1</v>
      </c>
      <c r="D3" s="38"/>
      <c r="E3" s="38"/>
      <c r="F3" s="38"/>
      <c r="G3" s="38"/>
      <c r="H3" s="38"/>
    </row>
    <row r="4" spans="1:57" x14ac:dyDescent="0.25">
      <c r="C4" s="1"/>
      <c r="D4" s="1"/>
      <c r="E4" s="1"/>
      <c r="F4" s="1"/>
      <c r="G4" s="1"/>
      <c r="H4" s="1"/>
      <c r="I4" s="8"/>
    </row>
    <row r="6" spans="1:57" s="24" customFormat="1" x14ac:dyDescent="0.25">
      <c r="B6" s="24" t="s">
        <v>16</v>
      </c>
      <c r="C6" s="7">
        <v>42736</v>
      </c>
      <c r="D6" s="7">
        <v>42767</v>
      </c>
      <c r="E6" s="7">
        <v>42795</v>
      </c>
      <c r="F6" s="7">
        <v>42826</v>
      </c>
      <c r="G6" s="7">
        <v>42856</v>
      </c>
      <c r="H6" s="7">
        <v>42887</v>
      </c>
      <c r="I6" s="7">
        <v>42917</v>
      </c>
      <c r="J6" s="7">
        <v>42948</v>
      </c>
      <c r="K6" s="7">
        <v>42979</v>
      </c>
      <c r="L6" s="7">
        <v>43009</v>
      </c>
      <c r="M6" s="7">
        <v>43040</v>
      </c>
      <c r="N6" s="7">
        <v>43070</v>
      </c>
      <c r="O6" s="24" t="s">
        <v>23</v>
      </c>
    </row>
    <row r="7" spans="1:57" x14ac:dyDescent="0.25">
      <c r="A7" s="3" t="s">
        <v>8</v>
      </c>
      <c r="B7" s="3"/>
    </row>
    <row r="8" spans="1:57" x14ac:dyDescent="0.25">
      <c r="A8" s="4" t="s">
        <v>2</v>
      </c>
      <c r="B8" s="12">
        <v>231751411.25999996</v>
      </c>
      <c r="C8" s="8">
        <v>8672465.4299999997</v>
      </c>
      <c r="D8" s="8">
        <v>6206792.3499999996</v>
      </c>
      <c r="E8" s="8">
        <v>10120854.189999999</v>
      </c>
      <c r="F8" s="8">
        <v>9947934.4000000004</v>
      </c>
      <c r="G8" s="8">
        <v>17221562.949999999</v>
      </c>
      <c r="H8" s="8">
        <v>17289308.129999999</v>
      </c>
      <c r="I8" s="8">
        <v>7656011.6100000003</v>
      </c>
      <c r="J8" s="8">
        <v>10920148.65</v>
      </c>
      <c r="K8" s="8">
        <v>14659814.4</v>
      </c>
      <c r="L8" s="2">
        <v>7568772.8300000001</v>
      </c>
      <c r="M8" s="2">
        <v>6691421.1799999997</v>
      </c>
      <c r="N8" s="2">
        <v>8302080.8899999997</v>
      </c>
      <c r="O8" s="2">
        <v>357008578.26999992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4" t="s">
        <v>3</v>
      </c>
      <c r="B9" s="15">
        <v>131545493.33</v>
      </c>
      <c r="C9" s="8">
        <v>9251213.8800000008</v>
      </c>
      <c r="D9" s="8">
        <v>4214872.6100000003</v>
      </c>
      <c r="E9" s="8">
        <v>7363868.8600000003</v>
      </c>
      <c r="F9" s="8">
        <v>4178694.67</v>
      </c>
      <c r="G9" s="8">
        <v>9270167.2899999991</v>
      </c>
      <c r="H9" s="8">
        <v>9196741.2599999998</v>
      </c>
      <c r="I9" s="8">
        <v>10999542.050000001</v>
      </c>
      <c r="J9" s="8">
        <v>10473099.16</v>
      </c>
      <c r="K9" s="8">
        <v>7096148.7199999997</v>
      </c>
      <c r="L9" s="2">
        <v>8489635.3699999992</v>
      </c>
      <c r="M9" s="2">
        <v>4950558.8</v>
      </c>
      <c r="N9" s="2">
        <v>4978801.09</v>
      </c>
      <c r="O9" s="2">
        <v>222008837.09000003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4" t="s">
        <v>12</v>
      </c>
      <c r="B10" s="14">
        <v>12321629.960000001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2">
        <v>0</v>
      </c>
      <c r="M10" s="2">
        <v>0</v>
      </c>
      <c r="N10" s="2">
        <v>0</v>
      </c>
      <c r="O10" s="2">
        <v>12321629.960000001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C11" s="8"/>
      <c r="D11" s="8"/>
      <c r="E11" s="8"/>
      <c r="F11" s="8"/>
      <c r="G11" s="8"/>
      <c r="H11" s="8"/>
      <c r="I11" s="8"/>
      <c r="J11" s="8"/>
      <c r="K11" s="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s="10" customFormat="1" ht="15.75" thickBot="1" x14ac:dyDescent="0.3">
      <c r="A12" s="5" t="s">
        <v>9</v>
      </c>
      <c r="B12" s="9">
        <v>375618534.54999995</v>
      </c>
      <c r="C12" s="9">
        <v>17923679.310000002</v>
      </c>
      <c r="D12" s="9">
        <v>10421664.960000001</v>
      </c>
      <c r="E12" s="9">
        <v>17484723.050000001</v>
      </c>
      <c r="F12" s="9">
        <v>14126629.07</v>
      </c>
      <c r="G12" s="9">
        <v>26491730.239999998</v>
      </c>
      <c r="H12" s="9">
        <v>26486049.390000001</v>
      </c>
      <c r="I12" s="9">
        <v>18655553.66</v>
      </c>
      <c r="J12" s="9">
        <v>21393247.810000002</v>
      </c>
      <c r="K12" s="9">
        <v>21755963.120000001</v>
      </c>
      <c r="L12" s="9">
        <v>16058408.199999999</v>
      </c>
      <c r="M12" s="9">
        <v>11641979.98</v>
      </c>
      <c r="N12" s="9">
        <v>13280881.98</v>
      </c>
      <c r="O12" s="9">
        <v>591339045.31999993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</row>
    <row r="13" spans="1:57" s="10" customFormat="1" ht="16.5" thickTop="1" thickBot="1" x14ac:dyDescent="0.3">
      <c r="A13" s="17" t="s">
        <v>18</v>
      </c>
      <c r="B13" s="20">
        <v>16.100000000000001</v>
      </c>
      <c r="C13" s="20">
        <v>16.100000000000001</v>
      </c>
      <c r="D13" s="20">
        <v>15.7</v>
      </c>
      <c r="E13" s="20">
        <v>15.6</v>
      </c>
      <c r="F13" s="20">
        <v>15.6</v>
      </c>
      <c r="G13" s="20">
        <v>16.3</v>
      </c>
      <c r="H13" s="20">
        <v>16.8</v>
      </c>
      <c r="I13" s="20">
        <v>17.850000000000001</v>
      </c>
      <c r="J13" s="20">
        <v>17.5</v>
      </c>
      <c r="K13" s="20">
        <v>17.5</v>
      </c>
      <c r="L13" s="20">
        <v>17.850000000000001</v>
      </c>
      <c r="M13" s="20">
        <v>17.5</v>
      </c>
      <c r="N13" s="20">
        <v>18.899999999999999</v>
      </c>
      <c r="O13" s="20">
        <v>18.899999999999999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</row>
    <row r="14" spans="1:57" s="10" customFormat="1" ht="16.5" thickTop="1" thickBot="1" x14ac:dyDescent="0.3">
      <c r="A14" s="17" t="s">
        <v>19</v>
      </c>
      <c r="B14" s="21">
        <v>23330343.760869559</v>
      </c>
      <c r="C14" s="21">
        <v>1113272.0068323</v>
      </c>
      <c r="D14" s="21">
        <v>663800.31592356693</v>
      </c>
      <c r="E14" s="21">
        <v>1120815.5801282052</v>
      </c>
      <c r="F14" s="21">
        <v>905553.14551282057</v>
      </c>
      <c r="G14" s="21">
        <v>1625259.5239263801</v>
      </c>
      <c r="H14" s="21">
        <v>1576550.5589285714</v>
      </c>
      <c r="I14" s="21">
        <v>1045129.0565826329</v>
      </c>
      <c r="J14" s="21">
        <v>1222471.3034285717</v>
      </c>
      <c r="K14" s="21">
        <v>1243197.8925714286</v>
      </c>
      <c r="L14" s="21">
        <v>899630.71148459369</v>
      </c>
      <c r="M14" s="21">
        <v>665255.99885714287</v>
      </c>
      <c r="N14" s="21">
        <v>702692.168253968</v>
      </c>
      <c r="O14" s="21">
        <v>31287780.175661374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57" ht="15.75" thickTop="1" x14ac:dyDescent="0.25">
      <c r="C15" s="8"/>
      <c r="D15" s="8"/>
      <c r="E15" s="8"/>
      <c r="F15" s="8"/>
      <c r="G15" s="8"/>
      <c r="H15" s="8"/>
      <c r="I15" s="8"/>
      <c r="J15" s="8"/>
      <c r="K15" s="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C16" s="8"/>
      <c r="D16" s="8"/>
      <c r="E16" s="8"/>
      <c r="F16" s="8"/>
      <c r="G16" s="8"/>
      <c r="H16" s="8"/>
      <c r="I16" s="8"/>
      <c r="J16" s="8"/>
      <c r="K16" s="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" t="s">
        <v>10</v>
      </c>
      <c r="B17" s="3"/>
      <c r="C17" s="8"/>
      <c r="D17" s="8"/>
      <c r="E17" s="8"/>
      <c r="F17" s="8"/>
      <c r="G17" s="8"/>
      <c r="H17" s="8"/>
      <c r="I17" s="8"/>
      <c r="J17" s="8"/>
      <c r="K17" s="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4" t="s">
        <v>4</v>
      </c>
      <c r="B18" s="12">
        <v>27443845.859999992</v>
      </c>
      <c r="C18" s="8">
        <v>554223.09</v>
      </c>
      <c r="D18" s="8">
        <v>1136492.52</v>
      </c>
      <c r="E18" s="8">
        <v>0</v>
      </c>
      <c r="F18" s="8">
        <v>578145.97</v>
      </c>
      <c r="G18" s="8">
        <v>589812.59</v>
      </c>
      <c r="H18" s="8">
        <v>1224475.23</v>
      </c>
      <c r="I18" s="8">
        <v>0</v>
      </c>
      <c r="J18" s="8">
        <v>643210.4</v>
      </c>
      <c r="K18" s="8">
        <v>640219.32999999996</v>
      </c>
      <c r="L18" s="2">
        <v>1481467.52</v>
      </c>
      <c r="M18" s="2">
        <v>1604.46</v>
      </c>
      <c r="N18" s="2">
        <v>670603.74</v>
      </c>
      <c r="O18" s="2">
        <v>34964100.709999993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4" t="s">
        <v>30</v>
      </c>
      <c r="B19" s="12">
        <v>235376594.88000003</v>
      </c>
      <c r="C19" s="8">
        <v>7834987.1100000003</v>
      </c>
      <c r="D19" s="8">
        <v>7201537.2199999997</v>
      </c>
      <c r="E19" s="8">
        <v>7029257.46</v>
      </c>
      <c r="F19" s="8">
        <v>6401617.6699999999</v>
      </c>
      <c r="G19" s="8">
        <v>18380141.920000002</v>
      </c>
      <c r="H19" s="8">
        <v>6868033.3799999999</v>
      </c>
      <c r="I19" s="8">
        <v>7341713.6699999999</v>
      </c>
      <c r="J19" s="8">
        <v>7893194.1200000001</v>
      </c>
      <c r="K19" s="8">
        <v>8497426.5500000007</v>
      </c>
      <c r="L19" s="2">
        <v>7698546.0700000003</v>
      </c>
      <c r="M19" s="2">
        <v>9835923.0700000003</v>
      </c>
      <c r="N19" s="2">
        <v>10976430.76</v>
      </c>
      <c r="O19" s="2">
        <v>341335403.88000005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4" t="s">
        <v>5</v>
      </c>
      <c r="B20" s="12">
        <v>23693919.050000004</v>
      </c>
      <c r="C20" s="8">
        <v>226368.41</v>
      </c>
      <c r="D20" s="8">
        <v>247997.46</v>
      </c>
      <c r="E20" s="8">
        <v>199115.23</v>
      </c>
      <c r="F20" s="8">
        <v>254294.34</v>
      </c>
      <c r="G20" s="8">
        <v>307703.8</v>
      </c>
      <c r="H20" s="8">
        <v>367829.21</v>
      </c>
      <c r="I20" s="8">
        <v>350616.88</v>
      </c>
      <c r="J20" s="8">
        <v>274377.39</v>
      </c>
      <c r="K20" s="8">
        <v>292224.49</v>
      </c>
      <c r="L20" s="2">
        <v>303900.84000000003</v>
      </c>
      <c r="M20" s="2">
        <v>241217</v>
      </c>
      <c r="N20" s="2">
        <v>232904.59</v>
      </c>
      <c r="O20" s="2">
        <v>26992468.690000005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4" t="s">
        <v>7</v>
      </c>
      <c r="B21" s="12">
        <v>41229567.629999995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">
        <v>0</v>
      </c>
      <c r="M21" s="2">
        <v>0</v>
      </c>
      <c r="N21" s="2">
        <v>0</v>
      </c>
      <c r="O21" s="2">
        <v>41229567.629999995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4" t="s">
        <v>13</v>
      </c>
      <c r="B22" s="14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">
        <v>0</v>
      </c>
      <c r="M22" s="2">
        <v>0</v>
      </c>
      <c r="N22" s="2">
        <v>0</v>
      </c>
      <c r="O22" s="2"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4" t="s">
        <v>17</v>
      </c>
      <c r="B23" s="14">
        <v>24199662.400000002</v>
      </c>
      <c r="C23" s="8">
        <v>3999997.05</v>
      </c>
      <c r="D23" s="8">
        <v>16600001.6</v>
      </c>
      <c r="E23" s="8">
        <v>10500000.6</v>
      </c>
      <c r="F23" s="8">
        <v>0</v>
      </c>
      <c r="G23" s="8">
        <v>0</v>
      </c>
      <c r="H23" s="8">
        <v>25999978.199999999</v>
      </c>
      <c r="I23" s="8">
        <v>0</v>
      </c>
      <c r="J23" s="8">
        <v>16999992</v>
      </c>
      <c r="K23" s="8">
        <v>11999989.300000001</v>
      </c>
      <c r="L23" s="2">
        <v>21999995.550000001</v>
      </c>
      <c r="M23" s="2">
        <v>0</v>
      </c>
      <c r="N23" s="2">
        <v>0</v>
      </c>
      <c r="O23" s="2">
        <v>132299616.7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C24" s="8"/>
      <c r="D24" s="8"/>
      <c r="E24" s="8"/>
      <c r="F24" s="8"/>
      <c r="G24" s="8"/>
      <c r="H24" s="8"/>
      <c r="I24" s="8"/>
      <c r="J24" s="8"/>
      <c r="K24" s="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C25" s="8"/>
      <c r="D25" s="8"/>
      <c r="E25" s="8"/>
      <c r="F25" s="8"/>
      <c r="G25" s="8"/>
      <c r="H25" s="8"/>
      <c r="I25" s="8"/>
      <c r="J25" s="8"/>
      <c r="K25" s="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s="10" customFormat="1" ht="15.75" thickBot="1" x14ac:dyDescent="0.3">
      <c r="A26" s="5" t="s">
        <v>11</v>
      </c>
      <c r="B26" s="9">
        <v>351943589.81999999</v>
      </c>
      <c r="C26" s="9">
        <v>12615575.66</v>
      </c>
      <c r="D26" s="9">
        <v>25186028.800000001</v>
      </c>
      <c r="E26" s="9">
        <v>17728373.289999999</v>
      </c>
      <c r="F26" s="9">
        <v>7234057.9799999995</v>
      </c>
      <c r="G26" s="9">
        <v>19277658.310000002</v>
      </c>
      <c r="H26" s="9">
        <v>34460316.019999996</v>
      </c>
      <c r="I26" s="9">
        <v>7692330.5499999998</v>
      </c>
      <c r="J26" s="9">
        <v>25810773.91</v>
      </c>
      <c r="K26" s="9">
        <v>21429859.670000002</v>
      </c>
      <c r="L26" s="9">
        <v>31483909.98</v>
      </c>
      <c r="M26" s="9">
        <v>10078744.530000001</v>
      </c>
      <c r="N26" s="9">
        <v>11879939.09</v>
      </c>
      <c r="O26" s="9">
        <v>576821157.61000001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</row>
    <row r="27" spans="1:57" s="10" customFormat="1" ht="16.5" thickTop="1" thickBot="1" x14ac:dyDescent="0.3">
      <c r="A27" s="17" t="s">
        <v>18</v>
      </c>
      <c r="B27" s="20">
        <v>16.100000000000001</v>
      </c>
      <c r="C27" s="20">
        <v>16.100000000000001</v>
      </c>
      <c r="D27" s="20">
        <v>15.7</v>
      </c>
      <c r="E27" s="20">
        <v>15.6</v>
      </c>
      <c r="F27" s="20">
        <v>15.6</v>
      </c>
      <c r="G27" s="20">
        <v>16.3</v>
      </c>
      <c r="H27" s="20">
        <v>16.8</v>
      </c>
      <c r="I27" s="20">
        <v>17.850000000000001</v>
      </c>
      <c r="J27" s="20">
        <v>17.5</v>
      </c>
      <c r="K27" s="20">
        <v>17.5</v>
      </c>
      <c r="L27" s="20">
        <v>17.850000000000001</v>
      </c>
      <c r="M27" s="20">
        <v>17.5</v>
      </c>
      <c r="N27" s="20">
        <v>18.899999999999999</v>
      </c>
      <c r="O27" s="20">
        <v>18.899999999999999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</row>
    <row r="28" spans="1:57" s="10" customFormat="1" ht="16.5" thickTop="1" thickBot="1" x14ac:dyDescent="0.3">
      <c r="A28" s="17" t="s">
        <v>20</v>
      </c>
      <c r="B28" s="21">
        <v>21859850.299378879</v>
      </c>
      <c r="C28" s="21">
        <v>783576.12795031047</v>
      </c>
      <c r="D28" s="21">
        <v>1604205.6560509556</v>
      </c>
      <c r="E28" s="21">
        <v>1136434.1852564102</v>
      </c>
      <c r="F28" s="21">
        <v>463721.66538461536</v>
      </c>
      <c r="G28" s="21">
        <v>1182678.4239263805</v>
      </c>
      <c r="H28" s="21">
        <v>2051209.2869047616</v>
      </c>
      <c r="I28" s="21">
        <v>430942.887955182</v>
      </c>
      <c r="J28" s="21">
        <v>1474901.3662857143</v>
      </c>
      <c r="K28" s="21">
        <v>1224563.4097142857</v>
      </c>
      <c r="L28" s="21">
        <v>1763804.4806722689</v>
      </c>
      <c r="M28" s="21">
        <v>575928.25885714288</v>
      </c>
      <c r="N28" s="21">
        <v>628568.20582010585</v>
      </c>
      <c r="O28" s="21">
        <v>30519637.968783073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</row>
    <row r="29" spans="1:57" s="10" customFormat="1" ht="15.75" thickTop="1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</row>
    <row r="30" spans="1:57" x14ac:dyDescent="0.25">
      <c r="C30" s="8"/>
      <c r="D30" s="8"/>
      <c r="E30" s="8"/>
      <c r="F30" s="8"/>
      <c r="G30" s="8"/>
      <c r="H30" s="8"/>
      <c r="I30" s="8"/>
      <c r="J30" s="8"/>
      <c r="K30" s="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s="10" customFormat="1" ht="15.75" thickBot="1" x14ac:dyDescent="0.3">
      <c r="A31" s="5" t="s">
        <v>6</v>
      </c>
      <c r="B31" s="9">
        <v>23674944.729999959</v>
      </c>
      <c r="C31" s="9">
        <v>5308103.6500000022</v>
      </c>
      <c r="D31" s="9">
        <v>-14764363.84</v>
      </c>
      <c r="E31" s="9">
        <v>-243650.23999999836</v>
      </c>
      <c r="F31" s="9">
        <v>6892571.0900000008</v>
      </c>
      <c r="G31" s="9">
        <v>7214071.929999996</v>
      </c>
      <c r="H31" s="9">
        <v>-7974266.6299999952</v>
      </c>
      <c r="I31" s="9">
        <v>10963223.109999999</v>
      </c>
      <c r="J31" s="9">
        <v>-4417526.0999999978</v>
      </c>
      <c r="K31" s="9">
        <v>326103.44999999925</v>
      </c>
      <c r="L31" s="9">
        <v>-15425501.780000001</v>
      </c>
      <c r="M31" s="9">
        <v>1563235.4499999993</v>
      </c>
      <c r="N31" s="9">
        <v>1400942.8900000006</v>
      </c>
      <c r="O31" s="9">
        <v>14517887.709999919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</row>
    <row r="32" spans="1:57" ht="16.5" thickTop="1" thickBot="1" x14ac:dyDescent="0.3">
      <c r="A32" s="18" t="s">
        <v>21</v>
      </c>
      <c r="B32" s="22">
        <v>1470493.4614906795</v>
      </c>
      <c r="C32" s="22">
        <v>329695.87888198765</v>
      </c>
      <c r="D32" s="22">
        <v>-940405.34012738871</v>
      </c>
      <c r="E32" s="22">
        <v>-15618.605128204916</v>
      </c>
      <c r="F32" s="22">
        <v>441831.48012820521</v>
      </c>
      <c r="G32" s="22">
        <v>442581.09999999963</v>
      </c>
      <c r="H32" s="22">
        <v>-474658.72797619016</v>
      </c>
      <c r="I32" s="22">
        <v>614186.16862745094</v>
      </c>
      <c r="J32" s="22">
        <v>-252430.06285714265</v>
      </c>
      <c r="K32" s="22">
        <v>18634.482857142808</v>
      </c>
      <c r="L32" s="22">
        <v>-864173.76918767521</v>
      </c>
      <c r="M32" s="22">
        <v>89327.739999999991</v>
      </c>
      <c r="N32" s="22">
        <v>74123.9624338625</v>
      </c>
      <c r="O32" s="22">
        <v>768142.20687830076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ht="15.75" thickTop="1" x14ac:dyDescent="0.2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B34" s="23"/>
      <c r="C34" s="23"/>
      <c r="D34" s="23"/>
      <c r="E34" s="23"/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19" t="s">
        <v>22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3:57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3:57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3:57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3:57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3:57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3:57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3:57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3:57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3:57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3:57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3:57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3:57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3:57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3:57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3:57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3:57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3:57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3:57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3:57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3:57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3:57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3:57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3:57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3:57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3:57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3:57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3:57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3:57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3:57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3:57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3:57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3:57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3:57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3:57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3:57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3:57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3:57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3:57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3:57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3:57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3:57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spans="3:57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spans="3:57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spans="3:57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spans="3:57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  <row r="94" spans="3:57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</row>
    <row r="95" spans="3:57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</row>
    <row r="96" spans="3:57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</row>
    <row r="97" spans="3:57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  <row r="98" spans="3:57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</row>
    <row r="99" spans="3:57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</row>
    <row r="100" spans="3:57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</row>
    <row r="101" spans="3:57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</row>
    <row r="102" spans="3:57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</row>
    <row r="103" spans="3:57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</row>
    <row r="104" spans="3:57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3:57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3:57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</row>
    <row r="107" spans="3:57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spans="3:57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</row>
    <row r="109" spans="3:57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</row>
    <row r="110" spans="3:57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</row>
    <row r="111" spans="3:57" x14ac:dyDescent="0.2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</row>
    <row r="112" spans="3:57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</row>
    <row r="113" spans="3:57" x14ac:dyDescent="0.2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4" spans="3:57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</row>
    <row r="115" spans="3:57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</row>
    <row r="116" spans="3:57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</row>
    <row r="117" spans="3:57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</row>
    <row r="118" spans="3:57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</row>
    <row r="119" spans="3:57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</row>
    <row r="120" spans="3:57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</row>
    <row r="121" spans="3:57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</row>
    <row r="122" spans="3:57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</row>
    <row r="123" spans="3:57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</row>
    <row r="124" spans="3:57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</row>
    <row r="125" spans="3:57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</row>
    <row r="126" spans="3:57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</row>
    <row r="127" spans="3:57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</row>
    <row r="128" spans="3:57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</row>
    <row r="129" spans="3:57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</row>
    <row r="130" spans="3:57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</row>
    <row r="131" spans="3:57" x14ac:dyDescent="0.2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</row>
    <row r="132" spans="3:57" x14ac:dyDescent="0.2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</row>
    <row r="133" spans="3:57" x14ac:dyDescent="0.2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</row>
    <row r="134" spans="3:57" x14ac:dyDescent="0.2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</row>
    <row r="135" spans="3:57" x14ac:dyDescent="0.2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</row>
    <row r="136" spans="3:57" x14ac:dyDescent="0.2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</row>
    <row r="137" spans="3:57" x14ac:dyDescent="0.2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</row>
    <row r="138" spans="3:57" x14ac:dyDescent="0.2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</row>
    <row r="139" spans="3:57" x14ac:dyDescent="0.2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</row>
    <row r="140" spans="3:57" x14ac:dyDescent="0.2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</row>
    <row r="141" spans="3:57" x14ac:dyDescent="0.2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</row>
    <row r="142" spans="3:57" x14ac:dyDescent="0.2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</row>
    <row r="143" spans="3:57" x14ac:dyDescent="0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</row>
    <row r="144" spans="3:57" x14ac:dyDescent="0.2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</row>
    <row r="145" spans="3:57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</row>
    <row r="146" spans="3:57" x14ac:dyDescent="0.2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</row>
    <row r="147" spans="3:57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</row>
    <row r="148" spans="3:57" x14ac:dyDescent="0.2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</row>
    <row r="149" spans="3:57" x14ac:dyDescent="0.2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</row>
    <row r="150" spans="3:57" x14ac:dyDescent="0.2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</row>
    <row r="151" spans="3:57" x14ac:dyDescent="0.2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</row>
    <row r="152" spans="3:57" x14ac:dyDescent="0.2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</row>
    <row r="153" spans="3:57" x14ac:dyDescent="0.2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</row>
    <row r="154" spans="3:57" x14ac:dyDescent="0.2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</row>
    <row r="155" spans="3:57" x14ac:dyDescent="0.2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</row>
    <row r="156" spans="3:57" x14ac:dyDescent="0.2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</row>
    <row r="157" spans="3:57" x14ac:dyDescent="0.2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</row>
    <row r="158" spans="3:57" x14ac:dyDescent="0.2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</row>
    <row r="159" spans="3:57" x14ac:dyDescent="0.2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</row>
    <row r="160" spans="3:57" x14ac:dyDescent="0.2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</row>
    <row r="161" spans="3:57" x14ac:dyDescent="0.2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</row>
    <row r="162" spans="3:57" x14ac:dyDescent="0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</row>
    <row r="163" spans="3:57" x14ac:dyDescent="0.2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</row>
    <row r="164" spans="3:57" x14ac:dyDescent="0.2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</row>
    <row r="165" spans="3:57" x14ac:dyDescent="0.2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</row>
    <row r="166" spans="3:57" x14ac:dyDescent="0.2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</row>
    <row r="167" spans="3:57" x14ac:dyDescent="0.2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</row>
    <row r="168" spans="3:57" x14ac:dyDescent="0.2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</row>
    <row r="169" spans="3:57" x14ac:dyDescent="0.2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</row>
    <row r="170" spans="3:57" x14ac:dyDescent="0.2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</row>
    <row r="171" spans="3:57" x14ac:dyDescent="0.2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</row>
    <row r="172" spans="3:57" x14ac:dyDescent="0.2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</row>
    <row r="173" spans="3:57" x14ac:dyDescent="0.2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</row>
    <row r="174" spans="3:57" x14ac:dyDescent="0.2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</row>
    <row r="175" spans="3:57" x14ac:dyDescent="0.2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</row>
    <row r="176" spans="3:57" x14ac:dyDescent="0.2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</row>
    <row r="177" spans="3:57" x14ac:dyDescent="0.2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</row>
    <row r="178" spans="3:57" x14ac:dyDescent="0.2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</row>
    <row r="179" spans="3:57" x14ac:dyDescent="0.2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</row>
    <row r="180" spans="3:57" x14ac:dyDescent="0.2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</row>
    <row r="181" spans="3:57" x14ac:dyDescent="0.2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</row>
    <row r="182" spans="3:57" x14ac:dyDescent="0.2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</row>
    <row r="183" spans="3:57" x14ac:dyDescent="0.2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</row>
    <row r="184" spans="3:57" x14ac:dyDescent="0.2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</row>
    <row r="185" spans="3:57" x14ac:dyDescent="0.2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</row>
    <row r="186" spans="3:57" x14ac:dyDescent="0.2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</row>
    <row r="187" spans="3:57" x14ac:dyDescent="0.2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</row>
    <row r="188" spans="3:57" x14ac:dyDescent="0.2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</row>
    <row r="189" spans="3:57" x14ac:dyDescent="0.2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</row>
    <row r="190" spans="3:57" x14ac:dyDescent="0.2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</row>
    <row r="191" spans="3:57" x14ac:dyDescent="0.2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</row>
    <row r="192" spans="3:57" x14ac:dyDescent="0.2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</row>
    <row r="193" spans="3:57" x14ac:dyDescent="0.2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</row>
    <row r="194" spans="3:57" x14ac:dyDescent="0.2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</row>
    <row r="195" spans="3:57" x14ac:dyDescent="0.2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</row>
    <row r="196" spans="3:57" x14ac:dyDescent="0.2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</row>
    <row r="197" spans="3:57" x14ac:dyDescent="0.2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</row>
    <row r="198" spans="3:57" x14ac:dyDescent="0.2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</row>
    <row r="199" spans="3:57" x14ac:dyDescent="0.2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</row>
    <row r="200" spans="3:57" x14ac:dyDescent="0.2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</row>
    <row r="201" spans="3:57" x14ac:dyDescent="0.2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</row>
    <row r="202" spans="3:57" x14ac:dyDescent="0.2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</row>
    <row r="203" spans="3:57" x14ac:dyDescent="0.2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</row>
    <row r="204" spans="3:57" x14ac:dyDescent="0.2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</row>
    <row r="205" spans="3:57" x14ac:dyDescent="0.2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</row>
    <row r="206" spans="3:57" x14ac:dyDescent="0.2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</row>
    <row r="207" spans="3:57" x14ac:dyDescent="0.2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</row>
    <row r="208" spans="3:57" x14ac:dyDescent="0.2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</row>
    <row r="209" spans="3:57" x14ac:dyDescent="0.2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</row>
    <row r="210" spans="3:57" x14ac:dyDescent="0.2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</row>
    <row r="211" spans="3:57" x14ac:dyDescent="0.2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</row>
    <row r="212" spans="3:57" x14ac:dyDescent="0.2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</row>
    <row r="213" spans="3:57" x14ac:dyDescent="0.2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</row>
    <row r="214" spans="3:57" x14ac:dyDescent="0.2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</row>
    <row r="215" spans="3:57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</row>
    <row r="216" spans="3:57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</row>
    <row r="217" spans="3:57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</row>
    <row r="218" spans="3:57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</row>
    <row r="219" spans="3:57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</row>
    <row r="220" spans="3:57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</row>
    <row r="221" spans="3:57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</row>
    <row r="222" spans="3:57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</row>
    <row r="223" spans="3:57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</row>
    <row r="224" spans="3:57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</row>
    <row r="225" spans="3:57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</row>
    <row r="226" spans="3:57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</row>
    <row r="227" spans="3:57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</row>
    <row r="228" spans="3:57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</row>
    <row r="229" spans="3:57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</row>
    <row r="230" spans="3:57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</row>
    <row r="231" spans="3:57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</row>
    <row r="232" spans="3:57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</row>
    <row r="233" spans="3:57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</row>
    <row r="234" spans="3:57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</row>
    <row r="235" spans="3:57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</row>
    <row r="236" spans="3:57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</row>
    <row r="237" spans="3:57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</row>
    <row r="238" spans="3:57" x14ac:dyDescent="0.2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</row>
    <row r="239" spans="3:57" x14ac:dyDescent="0.2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</row>
    <row r="240" spans="3:57" x14ac:dyDescent="0.2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</row>
    <row r="241" spans="3:57" x14ac:dyDescent="0.2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</row>
    <row r="242" spans="3:57" x14ac:dyDescent="0.2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</row>
    <row r="243" spans="3:57" x14ac:dyDescent="0.2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</row>
    <row r="244" spans="3:57" x14ac:dyDescent="0.2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</row>
    <row r="245" spans="3:57" x14ac:dyDescent="0.2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</row>
    <row r="246" spans="3:57" x14ac:dyDescent="0.2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</row>
    <row r="247" spans="3:57" x14ac:dyDescent="0.2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</row>
    <row r="248" spans="3:57" x14ac:dyDescent="0.2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</row>
    <row r="249" spans="3:57" x14ac:dyDescent="0.2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</row>
    <row r="250" spans="3:57" x14ac:dyDescent="0.2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</row>
    <row r="251" spans="3:57" x14ac:dyDescent="0.2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</row>
    <row r="252" spans="3:57" x14ac:dyDescent="0.2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</row>
    <row r="253" spans="3:57" x14ac:dyDescent="0.2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</row>
    <row r="254" spans="3:57" x14ac:dyDescent="0.2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</row>
    <row r="255" spans="3:57" x14ac:dyDescent="0.2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</row>
    <row r="256" spans="3:57" x14ac:dyDescent="0.2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</row>
    <row r="257" spans="3:57" x14ac:dyDescent="0.2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</row>
    <row r="258" spans="3:57" x14ac:dyDescent="0.2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</row>
    <row r="259" spans="3:57" x14ac:dyDescent="0.2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</row>
    <row r="260" spans="3:57" x14ac:dyDescent="0.2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</row>
    <row r="261" spans="3:57" x14ac:dyDescent="0.2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</row>
    <row r="262" spans="3:57" x14ac:dyDescent="0.2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</row>
    <row r="263" spans="3:57" x14ac:dyDescent="0.2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</row>
    <row r="264" spans="3:57" x14ac:dyDescent="0.2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</row>
    <row r="265" spans="3:57" x14ac:dyDescent="0.2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</row>
    <row r="266" spans="3:57" x14ac:dyDescent="0.2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</row>
    <row r="267" spans="3:57" x14ac:dyDescent="0.2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</row>
    <row r="268" spans="3:57" x14ac:dyDescent="0.2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</row>
    <row r="269" spans="3:57" x14ac:dyDescent="0.2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</row>
    <row r="270" spans="3:57" x14ac:dyDescent="0.2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</row>
    <row r="271" spans="3:57" x14ac:dyDescent="0.2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</row>
    <row r="272" spans="3:57" x14ac:dyDescent="0.2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</row>
    <row r="273" spans="3:57" x14ac:dyDescent="0.2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</row>
    <row r="274" spans="3:57" x14ac:dyDescent="0.2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</row>
    <row r="275" spans="3:57" x14ac:dyDescent="0.2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</row>
    <row r="276" spans="3:57" x14ac:dyDescent="0.2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</row>
    <row r="277" spans="3:57" x14ac:dyDescent="0.2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</row>
    <row r="278" spans="3:57" x14ac:dyDescent="0.2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</row>
    <row r="279" spans="3:57" x14ac:dyDescent="0.2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</row>
    <row r="280" spans="3:57" x14ac:dyDescent="0.2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</row>
    <row r="281" spans="3:57" x14ac:dyDescent="0.2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</row>
    <row r="282" spans="3:57" x14ac:dyDescent="0.2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</row>
    <row r="283" spans="3:57" x14ac:dyDescent="0.2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</row>
    <row r="284" spans="3:57" x14ac:dyDescent="0.2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</row>
    <row r="285" spans="3:57" x14ac:dyDescent="0.2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</row>
    <row r="286" spans="3:57" x14ac:dyDescent="0.2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</row>
    <row r="287" spans="3:57" x14ac:dyDescent="0.2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</row>
    <row r="288" spans="3:57" x14ac:dyDescent="0.2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</row>
    <row r="289" spans="3:57" x14ac:dyDescent="0.2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</row>
    <row r="290" spans="3:57" x14ac:dyDescent="0.2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</row>
    <row r="291" spans="3:57" x14ac:dyDescent="0.2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</row>
    <row r="292" spans="3:57" x14ac:dyDescent="0.2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</row>
    <row r="293" spans="3:57" x14ac:dyDescent="0.2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</row>
    <row r="294" spans="3:57" x14ac:dyDescent="0.2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</row>
    <row r="295" spans="3:57" x14ac:dyDescent="0.2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</row>
    <row r="296" spans="3:57" x14ac:dyDescent="0.2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</row>
    <row r="297" spans="3:57" x14ac:dyDescent="0.2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</row>
    <row r="298" spans="3:57" x14ac:dyDescent="0.2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</row>
    <row r="299" spans="3:57" x14ac:dyDescent="0.2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</row>
    <row r="300" spans="3:57" x14ac:dyDescent="0.2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</row>
    <row r="301" spans="3:57" x14ac:dyDescent="0.2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</row>
    <row r="302" spans="3:57" x14ac:dyDescent="0.2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</row>
    <row r="303" spans="3:57" x14ac:dyDescent="0.2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</row>
    <row r="304" spans="3:57" x14ac:dyDescent="0.2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</row>
    <row r="305" spans="3:57" x14ac:dyDescent="0.2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</row>
    <row r="306" spans="3:57" x14ac:dyDescent="0.2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</row>
    <row r="307" spans="3:57" x14ac:dyDescent="0.2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</row>
    <row r="308" spans="3:57" x14ac:dyDescent="0.2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</row>
    <row r="309" spans="3:57" x14ac:dyDescent="0.2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</row>
    <row r="310" spans="3:57" x14ac:dyDescent="0.2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</row>
    <row r="311" spans="3:57" x14ac:dyDescent="0.2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</row>
    <row r="312" spans="3:57" x14ac:dyDescent="0.2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</row>
    <row r="313" spans="3:57" x14ac:dyDescent="0.2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</row>
    <row r="314" spans="3:57" x14ac:dyDescent="0.2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</row>
    <row r="315" spans="3:57" x14ac:dyDescent="0.2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</row>
    <row r="316" spans="3:57" x14ac:dyDescent="0.2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</row>
    <row r="317" spans="3:57" x14ac:dyDescent="0.2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</row>
    <row r="318" spans="3:57" x14ac:dyDescent="0.2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</row>
    <row r="319" spans="3:57" x14ac:dyDescent="0.2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</row>
    <row r="320" spans="3:57" x14ac:dyDescent="0.2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</row>
    <row r="321" spans="3:57" x14ac:dyDescent="0.2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</row>
    <row r="322" spans="3:57" x14ac:dyDescent="0.2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</row>
    <row r="323" spans="3:57" x14ac:dyDescent="0.2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</row>
    <row r="324" spans="3:57" x14ac:dyDescent="0.2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</row>
    <row r="325" spans="3:57" x14ac:dyDescent="0.2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</row>
    <row r="326" spans="3:57" x14ac:dyDescent="0.2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</row>
    <row r="327" spans="3:57" x14ac:dyDescent="0.2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</row>
    <row r="328" spans="3:57" x14ac:dyDescent="0.2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</row>
    <row r="329" spans="3:57" x14ac:dyDescent="0.2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</row>
    <row r="330" spans="3:57" x14ac:dyDescent="0.2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</row>
    <row r="331" spans="3:57" x14ac:dyDescent="0.2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</row>
    <row r="332" spans="3:57" x14ac:dyDescent="0.2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</row>
    <row r="333" spans="3:57" x14ac:dyDescent="0.2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</row>
    <row r="334" spans="3:57" x14ac:dyDescent="0.2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</row>
    <row r="335" spans="3:57" x14ac:dyDescent="0.2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</row>
    <row r="336" spans="3:57" x14ac:dyDescent="0.2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</row>
    <row r="337" spans="3:57" x14ac:dyDescent="0.2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</row>
    <row r="338" spans="3:57" x14ac:dyDescent="0.2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</row>
    <row r="339" spans="3:57" x14ac:dyDescent="0.2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</row>
    <row r="340" spans="3:57" x14ac:dyDescent="0.2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</row>
    <row r="341" spans="3:57" x14ac:dyDescent="0.2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</row>
    <row r="342" spans="3:57" x14ac:dyDescent="0.2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</row>
    <row r="343" spans="3:57" x14ac:dyDescent="0.2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</row>
    <row r="344" spans="3:57" x14ac:dyDescent="0.2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</row>
    <row r="345" spans="3:57" x14ac:dyDescent="0.2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</row>
    <row r="346" spans="3:57" x14ac:dyDescent="0.2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</row>
    <row r="347" spans="3:57" x14ac:dyDescent="0.2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</row>
    <row r="348" spans="3:57" x14ac:dyDescent="0.2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</row>
    <row r="349" spans="3:57" x14ac:dyDescent="0.2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</row>
    <row r="350" spans="3:57" x14ac:dyDescent="0.2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</row>
    <row r="351" spans="3:57" x14ac:dyDescent="0.2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</row>
    <row r="352" spans="3:57" x14ac:dyDescent="0.2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</row>
    <row r="353" spans="3:57" x14ac:dyDescent="0.2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</row>
    <row r="354" spans="3:57" x14ac:dyDescent="0.2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</row>
    <row r="355" spans="3:57" x14ac:dyDescent="0.2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</row>
    <row r="356" spans="3:57" x14ac:dyDescent="0.2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</row>
    <row r="357" spans="3:57" x14ac:dyDescent="0.2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</row>
    <row r="358" spans="3:57" x14ac:dyDescent="0.2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</row>
    <row r="359" spans="3:57" x14ac:dyDescent="0.2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</row>
    <row r="360" spans="3:57" x14ac:dyDescent="0.2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</row>
    <row r="361" spans="3:57" x14ac:dyDescent="0.2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</row>
    <row r="362" spans="3:57" x14ac:dyDescent="0.2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</row>
  </sheetData>
  <mergeCells count="2">
    <mergeCell ref="C2:H2"/>
    <mergeCell ref="C3:H3"/>
  </mergeCells>
  <pageMargins left="0.70866141732283472" right="0.70866141732283472" top="0.74803149606299213" bottom="0.74803149606299213" header="0.31496062992125984" footer="0.31496062992125984"/>
  <pageSetup paperSize="9" scale="60" fitToWidth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workbookViewId="0">
      <selection activeCell="D15" sqref="D15"/>
    </sheetView>
  </sheetViews>
  <sheetFormatPr baseColWidth="10" defaultRowHeight="15" x14ac:dyDescent="0.25"/>
  <cols>
    <col min="1" max="1" width="52.7109375" bestFit="1" customWidth="1"/>
    <col min="3" max="4" width="15.140625" bestFit="1" customWidth="1"/>
    <col min="5" max="8" width="16.28515625" bestFit="1" customWidth="1"/>
    <col min="10" max="10" width="15.140625" bestFit="1" customWidth="1"/>
  </cols>
  <sheetData>
    <row r="2" spans="1:10" x14ac:dyDescent="0.25">
      <c r="B2" s="26" t="s">
        <v>0</v>
      </c>
      <c r="C2" s="33"/>
      <c r="D2" s="33"/>
      <c r="E2" s="33"/>
      <c r="F2" s="33"/>
      <c r="G2" s="33"/>
    </row>
    <row r="3" spans="1:10" x14ac:dyDescent="0.25">
      <c r="B3" s="26" t="s">
        <v>1</v>
      </c>
      <c r="C3" s="33"/>
      <c r="D3" s="33"/>
      <c r="E3" s="33"/>
      <c r="F3" s="33"/>
      <c r="G3" s="33"/>
    </row>
    <row r="6" spans="1:10" x14ac:dyDescent="0.25">
      <c r="A6" s="25"/>
      <c r="C6" s="26">
        <v>2013</v>
      </c>
      <c r="D6" s="26">
        <v>2014</v>
      </c>
      <c r="E6" s="25">
        <v>2015</v>
      </c>
      <c r="F6" s="25">
        <v>2016</v>
      </c>
      <c r="G6" s="25">
        <v>2017</v>
      </c>
      <c r="H6" s="34" t="s">
        <v>29</v>
      </c>
    </row>
    <row r="7" spans="1:10" x14ac:dyDescent="0.25">
      <c r="A7" s="3" t="s">
        <v>8</v>
      </c>
      <c r="H7" s="35"/>
    </row>
    <row r="8" spans="1:10" x14ac:dyDescent="0.25">
      <c r="A8" s="4" t="s">
        <v>2</v>
      </c>
      <c r="C8" s="14">
        <f>SUM('2013'!B8:J8)</f>
        <v>36115750.289999999</v>
      </c>
      <c r="D8" s="14">
        <f>SUM('2014'!C8:N8)</f>
        <v>41517314.529999994</v>
      </c>
      <c r="E8" s="14">
        <f>SUM('2015'!C8:N8)</f>
        <v>45984484.310000002</v>
      </c>
      <c r="F8" s="14">
        <f>SUM('2016'!C8:N8)</f>
        <v>108133862.12999998</v>
      </c>
      <c r="G8" s="14">
        <f>SUM('2017'!C8:N8)</f>
        <v>125257167.01000001</v>
      </c>
      <c r="H8" s="36">
        <f>C8+D8+E8+F8+G8</f>
        <v>357008578.26999998</v>
      </c>
      <c r="J8" s="14"/>
    </row>
    <row r="9" spans="1:10" x14ac:dyDescent="0.25">
      <c r="A9" s="4" t="s">
        <v>3</v>
      </c>
      <c r="C9" s="14">
        <f>SUM('2013'!B9:J9)</f>
        <v>0</v>
      </c>
      <c r="D9" s="14">
        <f>SUM('2014'!C9:N9)</f>
        <v>0</v>
      </c>
      <c r="E9" s="14">
        <f>SUM('2015'!C9:N9)</f>
        <v>35199688.109999999</v>
      </c>
      <c r="F9" s="14">
        <f>SUM('2016'!C9:N9)</f>
        <v>96345805.219999984</v>
      </c>
      <c r="G9" s="14">
        <f>SUM('2017'!C9:N9)</f>
        <v>90463343.760000005</v>
      </c>
      <c r="H9" s="36">
        <f t="shared" ref="H9:H24" si="0">C9+D9+E9+F9+G9</f>
        <v>222008837.08999997</v>
      </c>
    </row>
    <row r="10" spans="1:10" x14ac:dyDescent="0.25">
      <c r="A10" s="4" t="s">
        <v>12</v>
      </c>
      <c r="C10" s="14"/>
      <c r="D10" s="14">
        <f>SUM('2014'!C10:N10)</f>
        <v>10115007.51</v>
      </c>
      <c r="E10" s="14">
        <f>SUM('2015'!C10:N10)</f>
        <v>1585582.0500000007</v>
      </c>
      <c r="F10" s="14">
        <f>SUM('2016'!C10:N10)</f>
        <v>621040.40000000037</v>
      </c>
      <c r="G10" s="14">
        <f>SUM('2017'!C10:N10)</f>
        <v>0</v>
      </c>
      <c r="H10" s="36">
        <f t="shared" si="0"/>
        <v>12321629.960000001</v>
      </c>
    </row>
    <row r="11" spans="1:10" x14ac:dyDescent="0.25">
      <c r="H11" s="36"/>
    </row>
    <row r="12" spans="1:10" ht="15.75" thickBot="1" x14ac:dyDescent="0.3">
      <c r="A12" s="5" t="s">
        <v>9</v>
      </c>
      <c r="B12" s="5"/>
      <c r="C12" s="6">
        <f t="shared" ref="C12:D12" si="1">C8+C9+C10</f>
        <v>36115750.289999999</v>
      </c>
      <c r="D12" s="6">
        <f t="shared" si="1"/>
        <v>51632322.039999992</v>
      </c>
      <c r="E12" s="6">
        <f>E8+E9+E10</f>
        <v>82769754.469999999</v>
      </c>
      <c r="F12" s="6">
        <f>F8+F9+F10</f>
        <v>205100707.74999997</v>
      </c>
      <c r="G12" s="6">
        <f>G8+G9+G10</f>
        <v>215720510.77000001</v>
      </c>
      <c r="H12" s="37">
        <f t="shared" si="0"/>
        <v>591339045.31999993</v>
      </c>
    </row>
    <row r="13" spans="1:10" ht="15.75" thickTop="1" x14ac:dyDescent="0.25">
      <c r="H13" s="36"/>
    </row>
    <row r="14" spans="1:10" x14ac:dyDescent="0.25">
      <c r="H14" s="36"/>
    </row>
    <row r="15" spans="1:10" x14ac:dyDescent="0.25">
      <c r="A15" s="3" t="s">
        <v>10</v>
      </c>
      <c r="H15" s="36"/>
    </row>
    <row r="16" spans="1:10" x14ac:dyDescent="0.25">
      <c r="A16" s="4" t="s">
        <v>4</v>
      </c>
      <c r="C16" s="14">
        <f>SUM('2013'!B18:J18)</f>
        <v>4578824.3499999996</v>
      </c>
      <c r="D16" s="14">
        <f>SUM('2014'!C18:N18)</f>
        <v>735909.83000000007</v>
      </c>
      <c r="E16" s="14">
        <f>SUM('2015'!C18:N18)</f>
        <v>5024878.08</v>
      </c>
      <c r="F16" s="14">
        <f>SUM('2016'!C18:N18)</f>
        <v>17104233.599999998</v>
      </c>
      <c r="G16" s="14">
        <f>SUM('2017'!C18:N18)</f>
        <v>7520254.8500000006</v>
      </c>
      <c r="H16" s="36">
        <f t="shared" si="0"/>
        <v>34964100.710000001</v>
      </c>
      <c r="J16" s="14"/>
    </row>
    <row r="17" spans="1:8" x14ac:dyDescent="0.25">
      <c r="A17" s="4" t="s">
        <v>30</v>
      </c>
      <c r="C17" s="14">
        <v>0</v>
      </c>
      <c r="D17" s="14">
        <v>0</v>
      </c>
      <c r="E17" s="14">
        <f>SUM('2015'!C19:N19)</f>
        <v>132686462.49000001</v>
      </c>
      <c r="F17" s="14">
        <f>SUM('2016'!C19:N19)</f>
        <v>102690132.38999999</v>
      </c>
      <c r="G17" s="14">
        <f>SUM('2017'!C19:N19)</f>
        <v>105958809.00000001</v>
      </c>
      <c r="H17" s="36">
        <f t="shared" si="0"/>
        <v>341335403.88</v>
      </c>
    </row>
    <row r="18" spans="1:8" x14ac:dyDescent="0.25">
      <c r="A18" s="4" t="s">
        <v>5</v>
      </c>
      <c r="C18" s="14">
        <f>SUM('2013'!B19:J19)</f>
        <v>2373241.77</v>
      </c>
      <c r="D18" s="14">
        <f>SUM('2014'!C19:N19)</f>
        <v>5700537.5199999996</v>
      </c>
      <c r="E18" s="14">
        <f>SUM('2015'!C20:N20)</f>
        <v>10528257.59</v>
      </c>
      <c r="F18" s="14">
        <f>SUM('2016'!C20:N20)</f>
        <v>5091882.1700000009</v>
      </c>
      <c r="G18" s="14">
        <f>SUM('2017'!C20:N20)</f>
        <v>3298549.6399999997</v>
      </c>
      <c r="H18" s="36">
        <f t="shared" si="0"/>
        <v>26992468.690000001</v>
      </c>
    </row>
    <row r="19" spans="1:8" x14ac:dyDescent="0.25">
      <c r="A19" s="4" t="s">
        <v>7</v>
      </c>
      <c r="C19" s="14">
        <f>SUM('2013'!B20:J20)</f>
        <v>28000000</v>
      </c>
      <c r="D19" s="14">
        <f>SUM('2014'!C20:N20)</f>
        <v>44152891.709999986</v>
      </c>
      <c r="E19" s="14">
        <f>SUM('2015'!C21:N21)</f>
        <v>-65442537.499999978</v>
      </c>
      <c r="F19" s="14">
        <f>SUM('2016'!C21:N21)</f>
        <v>34519213.420000002</v>
      </c>
      <c r="G19" s="14">
        <f>SUM('2017'!C21:N21)</f>
        <v>0</v>
      </c>
      <c r="H19" s="36">
        <f t="shared" si="0"/>
        <v>41229567.630000003</v>
      </c>
    </row>
    <row r="20" spans="1:8" x14ac:dyDescent="0.25">
      <c r="A20" s="4" t="s">
        <v>13</v>
      </c>
      <c r="C20" s="14">
        <v>0</v>
      </c>
      <c r="D20" s="14">
        <f>SUM('2014'!C21:N21)</f>
        <v>0</v>
      </c>
      <c r="E20" s="14">
        <f>SUM('2015'!C22:N22)</f>
        <v>0</v>
      </c>
      <c r="F20" s="14">
        <f>SUM('2016'!C22:N22)</f>
        <v>0</v>
      </c>
      <c r="G20" s="14">
        <f>SUM('2017'!C22:N22)</f>
        <v>0</v>
      </c>
      <c r="H20" s="36">
        <f t="shared" si="0"/>
        <v>0</v>
      </c>
    </row>
    <row r="21" spans="1:8" x14ac:dyDescent="0.25">
      <c r="A21" s="4" t="s">
        <v>17</v>
      </c>
      <c r="C21" s="14">
        <v>0</v>
      </c>
      <c r="D21" s="14">
        <v>0</v>
      </c>
      <c r="E21" s="14">
        <v>0</v>
      </c>
      <c r="F21" s="14">
        <f>SUM('2016'!C23:N23)</f>
        <v>24199662.400000002</v>
      </c>
      <c r="G21" s="14">
        <f>SUM('2017'!C23:N23)</f>
        <v>108099954.3</v>
      </c>
      <c r="H21" s="36">
        <f t="shared" si="0"/>
        <v>132299616.7</v>
      </c>
    </row>
    <row r="22" spans="1:8" x14ac:dyDescent="0.25">
      <c r="H22" s="36"/>
    </row>
    <row r="23" spans="1:8" x14ac:dyDescent="0.25">
      <c r="H23" s="36"/>
    </row>
    <row r="24" spans="1:8" ht="15.75" thickBot="1" x14ac:dyDescent="0.3">
      <c r="A24" s="5" t="s">
        <v>11</v>
      </c>
      <c r="B24" s="5"/>
      <c r="C24" s="6">
        <f t="shared" ref="C24:D24" si="2">C16+C17+C18+C19+C20+C21</f>
        <v>34952066.119999997</v>
      </c>
      <c r="D24" s="6">
        <f t="shared" si="2"/>
        <v>50589339.059999987</v>
      </c>
      <c r="E24" s="6">
        <f>E16+E17+E18+E19+E20+E21</f>
        <v>82797060.660000056</v>
      </c>
      <c r="F24" s="6">
        <f t="shared" ref="F24:G24" si="3">F16+F17+F18+F19+F20+F21</f>
        <v>183605123.97999999</v>
      </c>
      <c r="G24" s="6">
        <f t="shared" si="3"/>
        <v>224877567.79000002</v>
      </c>
      <c r="H24" s="37">
        <f t="shared" si="0"/>
        <v>576821157.61000013</v>
      </c>
    </row>
    <row r="25" spans="1:8" ht="15.75" thickTop="1" x14ac:dyDescent="0.25">
      <c r="A25" s="10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H15" sqref="H15"/>
    </sheetView>
  </sheetViews>
  <sheetFormatPr baseColWidth="10" defaultRowHeight="15" x14ac:dyDescent="0.25"/>
  <cols>
    <col min="2" max="2" width="35.42578125" customWidth="1"/>
    <col min="3" max="3" width="11.42578125" hidden="1" customWidth="1"/>
    <col min="4" max="5" width="15.140625" bestFit="1" customWidth="1"/>
    <col min="6" max="6" width="14.140625" bestFit="1" customWidth="1"/>
    <col min="7" max="8" width="17.28515625" bestFit="1" customWidth="1"/>
    <col min="10" max="10" width="15.28515625" customWidth="1"/>
  </cols>
  <sheetData>
    <row r="2" spans="2:10" x14ac:dyDescent="0.25">
      <c r="C2" s="38" t="s">
        <v>0</v>
      </c>
      <c r="D2" s="38"/>
      <c r="E2" s="38"/>
      <c r="F2" s="38"/>
      <c r="G2" s="38"/>
      <c r="H2" s="38"/>
      <c r="I2" s="38"/>
      <c r="J2" s="38"/>
    </row>
    <row r="3" spans="2:10" x14ac:dyDescent="0.25">
      <c r="C3" s="38" t="s">
        <v>1</v>
      </c>
      <c r="D3" s="38"/>
      <c r="E3" s="38"/>
      <c r="F3" s="38"/>
      <c r="G3" s="38"/>
      <c r="H3" s="38"/>
      <c r="I3" s="38"/>
      <c r="J3" s="38"/>
    </row>
    <row r="6" spans="2:10" x14ac:dyDescent="0.25">
      <c r="D6" s="28">
        <v>41639</v>
      </c>
      <c r="E6" s="28">
        <v>42004</v>
      </c>
      <c r="F6" s="28">
        <v>42369</v>
      </c>
      <c r="G6" s="28">
        <v>42735</v>
      </c>
      <c r="H6" s="28">
        <v>43100</v>
      </c>
    </row>
    <row r="8" spans="2:10" x14ac:dyDescent="0.25">
      <c r="B8" t="s">
        <v>24</v>
      </c>
      <c r="D8" s="2">
        <v>1163684.17</v>
      </c>
      <c r="E8" s="2">
        <v>2206667.15</v>
      </c>
      <c r="F8" s="2">
        <v>2080381.82</v>
      </c>
      <c r="G8" s="2">
        <v>9780940.1099999994</v>
      </c>
      <c r="H8" s="2">
        <v>8863575.2599999998</v>
      </c>
    </row>
    <row r="9" spans="2:10" x14ac:dyDescent="0.25">
      <c r="B9" t="s">
        <v>25</v>
      </c>
      <c r="D9" s="2">
        <v>0</v>
      </c>
      <c r="E9" s="2">
        <v>0</v>
      </c>
      <c r="F9" s="2">
        <v>98979.14</v>
      </c>
      <c r="G9" s="2">
        <v>13894204.67</v>
      </c>
      <c r="H9" s="2">
        <v>5654512.5499999998</v>
      </c>
    </row>
    <row r="10" spans="2:10" x14ac:dyDescent="0.25">
      <c r="B10" t="s">
        <v>27</v>
      </c>
      <c r="D10" s="2">
        <v>29512860.620000001</v>
      </c>
      <c r="E10" s="2">
        <v>73360744.349999994</v>
      </c>
      <c r="F10" s="2">
        <v>7917329.25</v>
      </c>
      <c r="G10" s="2">
        <v>48153175</v>
      </c>
      <c r="H10" s="2">
        <v>58350505.520000003</v>
      </c>
    </row>
    <row r="11" spans="2:10" x14ac:dyDescent="0.25">
      <c r="B11" t="s">
        <v>26</v>
      </c>
      <c r="D11" s="27">
        <v>0</v>
      </c>
      <c r="E11" s="27">
        <v>0</v>
      </c>
      <c r="F11" s="27">
        <v>0</v>
      </c>
      <c r="G11" s="27">
        <v>1612775.96</v>
      </c>
      <c r="H11" s="27">
        <v>8016714.96</v>
      </c>
    </row>
  </sheetData>
  <mergeCells count="2">
    <mergeCell ref="C2:J2"/>
    <mergeCell ref="C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2013</vt:lpstr>
      <vt:lpstr>2014</vt:lpstr>
      <vt:lpstr>2015</vt:lpstr>
      <vt:lpstr>2016</vt:lpstr>
      <vt:lpstr>2017</vt:lpstr>
      <vt:lpstr>Resumen</vt:lpstr>
      <vt:lpstr>Fondos disponibles al 31-12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2018-02-07T16:15:26Z</dcterms:modified>
</cp:coreProperties>
</file>